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cts\htc_others\_image_basic_strategy\collections_ww2\"/>
    </mc:Choice>
  </mc:AlternateContent>
  <xr:revisionPtr revIDLastSave="0" documentId="13_ncr:1_{6AFDA4F0-C46A-4F39-B7FF-078CDD194A3B}" xr6:coauthVersionLast="45" xr6:coauthVersionMax="45" xr10:uidLastSave="{00000000-0000-0000-0000-000000000000}"/>
  <bookViews>
    <workbookView xWindow="-108" yWindow="-108" windowWidth="23256" windowHeight="12576" tabRatio="500" activeTab="6" xr2:uid="{00000000-000D-0000-FFFF-FFFF00000000}"/>
  </bookViews>
  <sheets>
    <sheet name="Artillery" sheetId="6" r:id="rId1"/>
    <sheet name="AntiTank" sheetId="5" r:id="rId2"/>
    <sheet name="Tanks" sheetId="4" r:id="rId3"/>
    <sheet name="AntiAir" sheetId="1" r:id="rId4"/>
    <sheet name="ships" sheetId="2" r:id="rId5"/>
    <sheet name="planes" sheetId="7" r:id="rId6"/>
    <sheet name="planes bomber" sheetId="3" r:id="rId7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Y10" i="3" l="1"/>
  <c r="S10" i="3"/>
  <c r="R10" i="3"/>
  <c r="N10" i="3"/>
  <c r="V12" i="3"/>
  <c r="V13" i="3"/>
  <c r="V14" i="3"/>
  <c r="W12" i="3"/>
  <c r="W13" i="3"/>
  <c r="W14" i="3"/>
  <c r="U13" i="3"/>
  <c r="U12" i="3"/>
  <c r="U4" i="3"/>
  <c r="U5" i="3"/>
  <c r="U6" i="3"/>
  <c r="U7" i="3"/>
  <c r="U8" i="3"/>
  <c r="U9" i="3"/>
  <c r="U3" i="3"/>
  <c r="V4" i="3"/>
  <c r="W4" i="3"/>
  <c r="V5" i="3"/>
  <c r="W5" i="3"/>
  <c r="V6" i="3"/>
  <c r="W6" i="3"/>
  <c r="V7" i="3"/>
  <c r="W7" i="3"/>
  <c r="V8" i="3"/>
  <c r="W8" i="3"/>
  <c r="V9" i="3"/>
  <c r="W9" i="3"/>
  <c r="V3" i="3"/>
  <c r="W3" i="3"/>
  <c r="V28" i="7"/>
  <c r="S28" i="7"/>
  <c r="R28" i="7"/>
  <c r="N28" i="7"/>
  <c r="V27" i="7"/>
  <c r="S27" i="7"/>
  <c r="R27" i="7"/>
  <c r="N27" i="7"/>
  <c r="V26" i="7"/>
  <c r="S26" i="7"/>
  <c r="R26" i="7"/>
  <c r="N26" i="7"/>
  <c r="V25" i="7"/>
  <c r="S25" i="7"/>
  <c r="R25" i="7"/>
  <c r="N25" i="7"/>
  <c r="V23" i="7"/>
  <c r="S23" i="7"/>
  <c r="R23" i="7"/>
  <c r="N23" i="7"/>
  <c r="V22" i="7"/>
  <c r="S22" i="7"/>
  <c r="R22" i="7"/>
  <c r="N22" i="7"/>
  <c r="V21" i="7"/>
  <c r="S21" i="7"/>
  <c r="T21" i="7" s="1"/>
  <c r="R21" i="7"/>
  <c r="N21" i="7"/>
  <c r="V20" i="7"/>
  <c r="S20" i="7"/>
  <c r="R20" i="7"/>
  <c r="N20" i="7"/>
  <c r="V19" i="7"/>
  <c r="S19" i="7"/>
  <c r="R19" i="7"/>
  <c r="N19" i="7"/>
  <c r="V18" i="7"/>
  <c r="S18" i="7"/>
  <c r="R18" i="7"/>
  <c r="N18" i="7"/>
  <c r="V17" i="7"/>
  <c r="S17" i="7"/>
  <c r="T17" i="7" s="1"/>
  <c r="R17" i="7"/>
  <c r="N17" i="7"/>
  <c r="V15" i="7"/>
  <c r="R15" i="7"/>
  <c r="N15" i="7"/>
  <c r="V14" i="7"/>
  <c r="R14" i="7"/>
  <c r="N14" i="7"/>
  <c r="V13" i="7"/>
  <c r="R13" i="7"/>
  <c r="N13" i="7"/>
  <c r="V12" i="7"/>
  <c r="R12" i="7"/>
  <c r="N12" i="7"/>
  <c r="V11" i="7"/>
  <c r="R11" i="7"/>
  <c r="N11" i="7"/>
  <c r="V10" i="7"/>
  <c r="R10" i="7"/>
  <c r="N10" i="7"/>
  <c r="V9" i="7"/>
  <c r="R9" i="7"/>
  <c r="N9" i="7"/>
  <c r="V8" i="7"/>
  <c r="R8" i="7"/>
  <c r="N8" i="7"/>
  <c r="V7" i="7"/>
  <c r="R7" i="7"/>
  <c r="N7" i="7"/>
  <c r="V6" i="7"/>
  <c r="R6" i="7"/>
  <c r="N6" i="7"/>
  <c r="V5" i="7"/>
  <c r="R5" i="7"/>
  <c r="N5" i="7"/>
  <c r="V4" i="7"/>
  <c r="R4" i="7"/>
  <c r="N4" i="7"/>
  <c r="V3" i="7"/>
  <c r="R3" i="7"/>
  <c r="N3" i="7"/>
  <c r="V2" i="7"/>
  <c r="R2" i="7"/>
  <c r="N2" i="7"/>
  <c r="X36" i="2"/>
  <c r="V36" i="2"/>
  <c r="T36" i="2"/>
  <c r="R36" i="2"/>
  <c r="O36" i="2"/>
  <c r="V33" i="2"/>
  <c r="V34" i="2"/>
  <c r="V35" i="2"/>
  <c r="V37" i="2"/>
  <c r="V38" i="2"/>
  <c r="T10" i="3" l="1"/>
  <c r="W10" i="3" s="1"/>
  <c r="T20" i="7"/>
  <c r="T18" i="7"/>
  <c r="T22" i="7"/>
  <c r="T23" i="7"/>
  <c r="T19" i="7"/>
  <c r="W36" i="5"/>
  <c r="U36" i="5"/>
  <c r="R36" i="5"/>
  <c r="P36" i="5"/>
  <c r="W19" i="4"/>
  <c r="U19" i="4"/>
  <c r="R19" i="4"/>
  <c r="P19" i="4"/>
  <c r="W18" i="4"/>
  <c r="U18" i="4"/>
  <c r="R18" i="4"/>
  <c r="P18" i="4"/>
  <c r="W20" i="4"/>
  <c r="U20" i="4"/>
  <c r="R20" i="4"/>
  <c r="P20" i="4"/>
  <c r="W23" i="4"/>
  <c r="U23" i="4"/>
  <c r="R23" i="4"/>
  <c r="P23" i="4"/>
  <c r="W24" i="4"/>
  <c r="U24" i="4"/>
  <c r="R24" i="4"/>
  <c r="P24" i="4"/>
  <c r="W21" i="4"/>
  <c r="U21" i="4"/>
  <c r="R21" i="4"/>
  <c r="P21" i="4"/>
  <c r="W22" i="6"/>
  <c r="U22" i="6"/>
  <c r="R22" i="6"/>
  <c r="P22" i="6"/>
  <c r="M22" i="6"/>
  <c r="U10" i="3" l="1"/>
  <c r="V10" i="3"/>
  <c r="W5" i="1"/>
  <c r="U5" i="1"/>
  <c r="R5" i="1"/>
  <c r="P5" i="1"/>
  <c r="W35" i="5"/>
  <c r="U35" i="5"/>
  <c r="R35" i="5"/>
  <c r="P35" i="5"/>
  <c r="W12" i="5"/>
  <c r="U12" i="5"/>
  <c r="R12" i="5"/>
  <c r="P12" i="5"/>
  <c r="W21" i="6"/>
  <c r="U21" i="6"/>
  <c r="R21" i="6"/>
  <c r="P21" i="6"/>
  <c r="M21" i="6"/>
  <c r="Y6" i="3"/>
  <c r="S6" i="3"/>
  <c r="R6" i="3"/>
  <c r="N6" i="3"/>
  <c r="T6" i="3" l="1"/>
  <c r="W40" i="6"/>
  <c r="U40" i="6"/>
  <c r="R40" i="6"/>
  <c r="P40" i="6"/>
  <c r="W36" i="6"/>
  <c r="U36" i="6"/>
  <c r="R36" i="6"/>
  <c r="P36" i="6"/>
  <c r="M36" i="6"/>
  <c r="W35" i="6"/>
  <c r="U35" i="6"/>
  <c r="R35" i="6"/>
  <c r="P35" i="6"/>
  <c r="M35" i="6"/>
  <c r="W34" i="6"/>
  <c r="U34" i="6"/>
  <c r="R34" i="6"/>
  <c r="P34" i="6"/>
  <c r="M34" i="6"/>
  <c r="W33" i="6"/>
  <c r="U33" i="6"/>
  <c r="R33" i="6"/>
  <c r="P33" i="6"/>
  <c r="M33" i="6"/>
  <c r="W32" i="6"/>
  <c r="U32" i="6"/>
  <c r="R32" i="6"/>
  <c r="P32" i="6"/>
  <c r="M32" i="6"/>
  <c r="W31" i="6"/>
  <c r="U31" i="6"/>
  <c r="R31" i="6"/>
  <c r="P31" i="6"/>
  <c r="M31" i="6"/>
  <c r="W30" i="6"/>
  <c r="U30" i="6"/>
  <c r="R30" i="6"/>
  <c r="P30" i="6"/>
  <c r="M30" i="6"/>
  <c r="W29" i="6"/>
  <c r="U29" i="6"/>
  <c r="R29" i="6"/>
  <c r="P29" i="6"/>
  <c r="M29" i="6"/>
  <c r="W28" i="6"/>
  <c r="U28" i="6"/>
  <c r="R28" i="6"/>
  <c r="P28" i="6"/>
  <c r="M28" i="6"/>
  <c r="W27" i="6"/>
  <c r="U27" i="6"/>
  <c r="R27" i="6"/>
  <c r="P27" i="6"/>
  <c r="M27" i="6"/>
  <c r="W26" i="6"/>
  <c r="U26" i="6"/>
  <c r="R26" i="6"/>
  <c r="P26" i="6"/>
  <c r="M26" i="6"/>
  <c r="W23" i="6"/>
  <c r="U23" i="6"/>
  <c r="R23" i="6"/>
  <c r="P23" i="6"/>
  <c r="M23" i="6"/>
  <c r="W20" i="6"/>
  <c r="U20" i="6"/>
  <c r="R20" i="6"/>
  <c r="P20" i="6"/>
  <c r="M20" i="6"/>
  <c r="W19" i="6"/>
  <c r="U19" i="6"/>
  <c r="R19" i="6"/>
  <c r="P19" i="6"/>
  <c r="M19" i="6"/>
  <c r="W18" i="6"/>
  <c r="U18" i="6"/>
  <c r="R18" i="6"/>
  <c r="P18" i="6"/>
  <c r="M18" i="6"/>
  <c r="W17" i="6"/>
  <c r="U17" i="6"/>
  <c r="R17" i="6"/>
  <c r="P17" i="6"/>
  <c r="M17" i="6"/>
  <c r="W16" i="6"/>
  <c r="U16" i="6"/>
  <c r="R16" i="6"/>
  <c r="P16" i="6"/>
  <c r="M16" i="6"/>
  <c r="W15" i="6"/>
  <c r="U15" i="6"/>
  <c r="R15" i="6"/>
  <c r="P15" i="6"/>
  <c r="M15" i="6"/>
  <c r="W14" i="6"/>
  <c r="U14" i="6"/>
  <c r="R14" i="6"/>
  <c r="P14" i="6"/>
  <c r="M14" i="6"/>
  <c r="W13" i="6"/>
  <c r="U13" i="6"/>
  <c r="R13" i="6"/>
  <c r="P13" i="6"/>
  <c r="M13" i="6"/>
  <c r="W12" i="6"/>
  <c r="U12" i="6"/>
  <c r="R12" i="6"/>
  <c r="P12" i="6"/>
  <c r="M12" i="6"/>
  <c r="W11" i="6"/>
  <c r="U11" i="6"/>
  <c r="R11" i="6"/>
  <c r="P11" i="6"/>
  <c r="M11" i="6"/>
  <c r="W10" i="6"/>
  <c r="U10" i="6"/>
  <c r="R10" i="6"/>
  <c r="P10" i="6"/>
  <c r="M10" i="6"/>
  <c r="W9" i="6"/>
  <c r="U9" i="6"/>
  <c r="R9" i="6"/>
  <c r="P9" i="6"/>
  <c r="M9" i="6"/>
  <c r="W8" i="6"/>
  <c r="U8" i="6"/>
  <c r="R8" i="6"/>
  <c r="P8" i="6"/>
  <c r="M8" i="6"/>
  <c r="W7" i="6"/>
  <c r="U7" i="6"/>
  <c r="R7" i="6"/>
  <c r="P7" i="6"/>
  <c r="M7" i="6"/>
  <c r="W34" i="5"/>
  <c r="U34" i="5"/>
  <c r="R34" i="5"/>
  <c r="P34" i="5"/>
  <c r="W33" i="5"/>
  <c r="U33" i="5"/>
  <c r="R33" i="5"/>
  <c r="P33" i="5"/>
  <c r="W32" i="5"/>
  <c r="U32" i="5"/>
  <c r="R32" i="5"/>
  <c r="P32" i="5"/>
  <c r="W31" i="5"/>
  <c r="U31" i="5"/>
  <c r="R31" i="5"/>
  <c r="P31" i="5"/>
  <c r="W30" i="5"/>
  <c r="U30" i="5"/>
  <c r="R30" i="5"/>
  <c r="P30" i="5"/>
  <c r="W29" i="5"/>
  <c r="U29" i="5"/>
  <c r="R29" i="5"/>
  <c r="P29" i="5"/>
  <c r="W27" i="5"/>
  <c r="U27" i="5"/>
  <c r="R27" i="5"/>
  <c r="W26" i="5"/>
  <c r="U26" i="5"/>
  <c r="R26" i="5"/>
  <c r="P26" i="5"/>
  <c r="W25" i="5"/>
  <c r="U25" i="5"/>
  <c r="R25" i="5"/>
  <c r="P25" i="5"/>
  <c r="W24" i="5"/>
  <c r="U24" i="5"/>
  <c r="R24" i="5"/>
  <c r="P24" i="5"/>
  <c r="W23" i="5"/>
  <c r="U23" i="5"/>
  <c r="R23" i="5"/>
  <c r="P23" i="5"/>
  <c r="W22" i="5"/>
  <c r="U22" i="5"/>
  <c r="R22" i="5"/>
  <c r="P22" i="5"/>
  <c r="W21" i="5"/>
  <c r="U21" i="5"/>
  <c r="R21" i="5"/>
  <c r="P21" i="5"/>
  <c r="W20" i="5"/>
  <c r="U20" i="5"/>
  <c r="R20" i="5"/>
  <c r="P20" i="5"/>
  <c r="W18" i="5"/>
  <c r="U18" i="5"/>
  <c r="R18" i="5"/>
  <c r="P18" i="5"/>
  <c r="W17" i="5"/>
  <c r="U17" i="5"/>
  <c r="R17" i="5"/>
  <c r="P17" i="5"/>
  <c r="W16" i="5"/>
  <c r="U16" i="5"/>
  <c r="R16" i="5"/>
  <c r="P16" i="5"/>
  <c r="W15" i="5"/>
  <c r="U15" i="5"/>
  <c r="R15" i="5"/>
  <c r="P15" i="5"/>
  <c r="W14" i="5"/>
  <c r="U14" i="5"/>
  <c r="R14" i="5"/>
  <c r="P14" i="5"/>
  <c r="W13" i="5"/>
  <c r="U13" i="5"/>
  <c r="R13" i="5"/>
  <c r="P13" i="5"/>
  <c r="W11" i="5"/>
  <c r="U11" i="5"/>
  <c r="R11" i="5"/>
  <c r="P11" i="5"/>
  <c r="W10" i="5"/>
  <c r="U10" i="5"/>
  <c r="R10" i="5"/>
  <c r="P10" i="5"/>
  <c r="W8" i="5"/>
  <c r="U8" i="5"/>
  <c r="R8" i="5"/>
  <c r="P8" i="5"/>
  <c r="W7" i="5"/>
  <c r="U7" i="5"/>
  <c r="R7" i="5"/>
  <c r="P7" i="5"/>
  <c r="W6" i="5"/>
  <c r="U6" i="5"/>
  <c r="R6" i="5"/>
  <c r="P6" i="5"/>
  <c r="W5" i="5"/>
  <c r="U5" i="5"/>
  <c r="R5" i="5"/>
  <c r="P5" i="5"/>
  <c r="W4" i="5"/>
  <c r="U4" i="5"/>
  <c r="R4" i="5"/>
  <c r="P4" i="5"/>
  <c r="W75" i="4"/>
  <c r="U75" i="4"/>
  <c r="R75" i="4"/>
  <c r="P75" i="4"/>
  <c r="W69" i="4"/>
  <c r="U69" i="4"/>
  <c r="R69" i="4"/>
  <c r="P69" i="4"/>
  <c r="W68" i="4"/>
  <c r="U68" i="4"/>
  <c r="R68" i="4"/>
  <c r="P68" i="4"/>
  <c r="W67" i="4"/>
  <c r="U67" i="4"/>
  <c r="R67" i="4"/>
  <c r="P67" i="4"/>
  <c r="W62" i="4"/>
  <c r="U62" i="4"/>
  <c r="R62" i="4"/>
  <c r="P62" i="4"/>
  <c r="W61" i="4"/>
  <c r="U61" i="4"/>
  <c r="R61" i="4"/>
  <c r="P61" i="4"/>
  <c r="W60" i="4"/>
  <c r="U60" i="4"/>
  <c r="R60" i="4"/>
  <c r="P60" i="4"/>
  <c r="W59" i="4"/>
  <c r="U59" i="4"/>
  <c r="R59" i="4"/>
  <c r="P59" i="4"/>
  <c r="W58" i="4"/>
  <c r="U58" i="4"/>
  <c r="R58" i="4"/>
  <c r="P58" i="4"/>
  <c r="W57" i="4"/>
  <c r="U57" i="4"/>
  <c r="R57" i="4"/>
  <c r="P57" i="4"/>
  <c r="W56" i="4"/>
  <c r="U56" i="4"/>
  <c r="R56" i="4"/>
  <c r="P56" i="4"/>
  <c r="W55" i="4"/>
  <c r="U55" i="4"/>
  <c r="R55" i="4"/>
  <c r="P55" i="4"/>
  <c r="W54" i="4"/>
  <c r="U54" i="4"/>
  <c r="R54" i="4"/>
  <c r="P54" i="4"/>
  <c r="W53" i="4"/>
  <c r="U53" i="4"/>
  <c r="R53" i="4"/>
  <c r="P53" i="4"/>
  <c r="W52" i="4"/>
  <c r="U52" i="4"/>
  <c r="R52" i="4"/>
  <c r="P52" i="4"/>
  <c r="W50" i="4"/>
  <c r="U50" i="4"/>
  <c r="R50" i="4"/>
  <c r="P50" i="4"/>
  <c r="W49" i="4"/>
  <c r="U49" i="4"/>
  <c r="R49" i="4"/>
  <c r="P49" i="4"/>
  <c r="W48" i="4"/>
  <c r="U48" i="4"/>
  <c r="R48" i="4"/>
  <c r="P48" i="4"/>
  <c r="W47" i="4"/>
  <c r="U47" i="4"/>
  <c r="R47" i="4"/>
  <c r="P47" i="4"/>
  <c r="W46" i="4"/>
  <c r="U46" i="4"/>
  <c r="R46" i="4"/>
  <c r="P46" i="4"/>
  <c r="W45" i="4"/>
  <c r="U45" i="4"/>
  <c r="R45" i="4"/>
  <c r="P45" i="4"/>
  <c r="W44" i="4"/>
  <c r="U44" i="4"/>
  <c r="R44" i="4"/>
  <c r="P44" i="4"/>
  <c r="W43" i="4"/>
  <c r="U43" i="4"/>
  <c r="R43" i="4"/>
  <c r="P43" i="4"/>
  <c r="W42" i="4"/>
  <c r="U42" i="4"/>
  <c r="R42" i="4"/>
  <c r="P42" i="4"/>
  <c r="W41" i="4"/>
  <c r="U41" i="4"/>
  <c r="R41" i="4"/>
  <c r="P41" i="4"/>
  <c r="W39" i="4"/>
  <c r="U39" i="4"/>
  <c r="R39" i="4"/>
  <c r="P39" i="4"/>
  <c r="W38" i="4"/>
  <c r="U38" i="4"/>
  <c r="R38" i="4"/>
  <c r="P38" i="4"/>
  <c r="W37" i="4"/>
  <c r="U37" i="4"/>
  <c r="R37" i="4"/>
  <c r="P37" i="4"/>
  <c r="W36" i="4"/>
  <c r="U36" i="4"/>
  <c r="R36" i="4"/>
  <c r="P36" i="4"/>
  <c r="W35" i="4"/>
  <c r="U35" i="4"/>
  <c r="R35" i="4"/>
  <c r="P35" i="4"/>
  <c r="W34" i="4"/>
  <c r="U34" i="4"/>
  <c r="R34" i="4"/>
  <c r="P34" i="4"/>
  <c r="W33" i="4"/>
  <c r="U33" i="4"/>
  <c r="R33" i="4"/>
  <c r="P33" i="4"/>
  <c r="W32" i="4"/>
  <c r="U32" i="4"/>
  <c r="R32" i="4"/>
  <c r="P32" i="4"/>
  <c r="W31" i="4"/>
  <c r="U31" i="4"/>
  <c r="R31" i="4"/>
  <c r="P31" i="4"/>
  <c r="W30" i="4"/>
  <c r="U30" i="4"/>
  <c r="R30" i="4"/>
  <c r="P30" i="4"/>
  <c r="W29" i="4"/>
  <c r="U29" i="4"/>
  <c r="R29" i="4"/>
  <c r="P29" i="4"/>
  <c r="W27" i="4"/>
  <c r="U27" i="4"/>
  <c r="R27" i="4"/>
  <c r="P27" i="4"/>
  <c r="W25" i="4"/>
  <c r="U25" i="4"/>
  <c r="R25" i="4"/>
  <c r="P25" i="4"/>
  <c r="W22" i="4"/>
  <c r="U22" i="4"/>
  <c r="R22" i="4"/>
  <c r="P22" i="4"/>
  <c r="W17" i="4"/>
  <c r="U17" i="4"/>
  <c r="R17" i="4"/>
  <c r="P17" i="4"/>
  <c r="W14" i="4"/>
  <c r="U14" i="4"/>
  <c r="R14" i="4"/>
  <c r="P14" i="4"/>
  <c r="W13" i="4"/>
  <c r="U13" i="4"/>
  <c r="R13" i="4"/>
  <c r="P13" i="4"/>
  <c r="W12" i="4"/>
  <c r="U12" i="4"/>
  <c r="R12" i="4"/>
  <c r="P12" i="4"/>
  <c r="W11" i="4"/>
  <c r="U11" i="4"/>
  <c r="R11" i="4"/>
  <c r="P11" i="4"/>
  <c r="W10" i="4"/>
  <c r="U10" i="4"/>
  <c r="R10" i="4"/>
  <c r="P10" i="4"/>
  <c r="W9" i="4"/>
  <c r="U9" i="4"/>
  <c r="R9" i="4"/>
  <c r="P9" i="4"/>
  <c r="W8" i="4"/>
  <c r="U8" i="4"/>
  <c r="R8" i="4"/>
  <c r="P8" i="4"/>
  <c r="W7" i="4"/>
  <c r="U7" i="4"/>
  <c r="R7" i="4"/>
  <c r="P7" i="4"/>
  <c r="W6" i="4"/>
  <c r="U6" i="4"/>
  <c r="R6" i="4"/>
  <c r="P6" i="4"/>
  <c r="W5" i="4"/>
  <c r="U5" i="4"/>
  <c r="R5" i="4"/>
  <c r="P5" i="4"/>
  <c r="W4" i="4"/>
  <c r="U4" i="4"/>
  <c r="R4" i="4"/>
  <c r="P4" i="4"/>
  <c r="X34" i="2"/>
  <c r="T34" i="2"/>
  <c r="R34" i="2"/>
  <c r="O34" i="2"/>
  <c r="H23" i="2"/>
  <c r="AB23" i="2"/>
  <c r="X23" i="2"/>
  <c r="V23" i="2"/>
  <c r="T23" i="2"/>
  <c r="R23" i="2"/>
  <c r="O23" i="2"/>
  <c r="H30" i="2"/>
  <c r="AB30" i="2" s="1"/>
  <c r="X30" i="2"/>
  <c r="V30" i="2"/>
  <c r="T30" i="2"/>
  <c r="R30" i="2"/>
  <c r="O30" i="2"/>
  <c r="H16" i="2"/>
  <c r="AD17" i="2"/>
  <c r="X17" i="2"/>
  <c r="V17" i="2"/>
  <c r="T17" i="2"/>
  <c r="R17" i="2"/>
  <c r="O17" i="2"/>
  <c r="J17" i="2"/>
  <c r="H17" i="2"/>
  <c r="AB17" i="2" s="1"/>
  <c r="H10" i="2"/>
  <c r="AB10" i="2" s="1"/>
  <c r="X10" i="2"/>
  <c r="V10" i="2"/>
  <c r="T10" i="2"/>
  <c r="R10" i="2"/>
  <c r="O10" i="2"/>
  <c r="H4" i="2"/>
  <c r="AB4" i="2" s="1"/>
  <c r="X4" i="2"/>
  <c r="V4" i="2"/>
  <c r="T4" i="2"/>
  <c r="R4" i="2"/>
  <c r="O4" i="2"/>
  <c r="H25" i="2" l="1"/>
  <c r="J25" i="2"/>
  <c r="AD25" i="2"/>
  <c r="J31" i="2"/>
  <c r="H31" i="2"/>
  <c r="J29" i="2"/>
  <c r="AD29" i="2" s="1"/>
  <c r="H29" i="2"/>
  <c r="AB29" i="2" s="1"/>
  <c r="J28" i="2"/>
  <c r="AD28" i="2" s="1"/>
  <c r="H28" i="2"/>
  <c r="J24" i="2"/>
  <c r="AD24" i="2" s="1"/>
  <c r="H24" i="2"/>
  <c r="AB24" i="2" s="1"/>
  <c r="J22" i="2"/>
  <c r="AD22" i="2" s="1"/>
  <c r="H22" i="2"/>
  <c r="J19" i="2"/>
  <c r="AD19" i="2" s="1"/>
  <c r="H19" i="2"/>
  <c r="AB19" i="2" s="1"/>
  <c r="J18" i="2"/>
  <c r="AD18" i="2" s="1"/>
  <c r="H18" i="2"/>
  <c r="J13" i="2"/>
  <c r="AD13" i="2" s="1"/>
  <c r="H13" i="2"/>
  <c r="AB13" i="2" s="1"/>
  <c r="J7" i="2"/>
  <c r="AD7" i="2" s="1"/>
  <c r="H7" i="2"/>
  <c r="AD31" i="2"/>
  <c r="AB7" i="2"/>
  <c r="AB12" i="2"/>
  <c r="AB18" i="2"/>
  <c r="AB16" i="2"/>
  <c r="AB25" i="2"/>
  <c r="AB22" i="2"/>
  <c r="AB28" i="2"/>
  <c r="AB31" i="2"/>
  <c r="H27" i="2"/>
  <c r="AB27" i="2" s="1"/>
  <c r="H21" i="2"/>
  <c r="AB21" i="2" s="1"/>
  <c r="H15" i="2"/>
  <c r="AB15" i="2" s="1"/>
  <c r="H11" i="2"/>
  <c r="AB11" i="2" s="1"/>
  <c r="H9" i="2"/>
  <c r="AB9" i="2" s="1"/>
  <c r="H5" i="2"/>
  <c r="AB5" i="2" s="1"/>
  <c r="H3" i="2"/>
  <c r="AB3" i="2" s="1"/>
  <c r="W14" i="1" l="1"/>
  <c r="U14" i="1"/>
  <c r="R14" i="1"/>
  <c r="P14" i="1"/>
  <c r="W13" i="1"/>
  <c r="U13" i="1"/>
  <c r="R13" i="1"/>
  <c r="P13" i="1"/>
  <c r="X35" i="2" l="1"/>
  <c r="T35" i="2"/>
  <c r="R35" i="2"/>
  <c r="O35" i="2"/>
  <c r="X27" i="2"/>
  <c r="V27" i="2"/>
  <c r="T27" i="2"/>
  <c r="R27" i="2"/>
  <c r="O27" i="2"/>
  <c r="X21" i="2"/>
  <c r="V21" i="2"/>
  <c r="T21" i="2"/>
  <c r="R21" i="2"/>
  <c r="O21" i="2"/>
  <c r="X19" i="2"/>
  <c r="V19" i="2"/>
  <c r="T19" i="2"/>
  <c r="R19" i="2"/>
  <c r="O19" i="2"/>
  <c r="X11" i="2"/>
  <c r="V11" i="2"/>
  <c r="T11" i="2"/>
  <c r="R11" i="2"/>
  <c r="O11" i="2"/>
  <c r="X5" i="2"/>
  <c r="V5" i="2"/>
  <c r="T5" i="2"/>
  <c r="R5" i="2"/>
  <c r="O5" i="2"/>
  <c r="Y8" i="3" l="1"/>
  <c r="S8" i="3"/>
  <c r="R8" i="3"/>
  <c r="N8" i="3"/>
  <c r="T8" i="3" l="1"/>
  <c r="Y9" i="3"/>
  <c r="S9" i="3"/>
  <c r="R9" i="3"/>
  <c r="N9" i="3"/>
  <c r="T9" i="3" l="1"/>
  <c r="Y12" i="3" l="1"/>
  <c r="S12" i="3"/>
  <c r="R12" i="3"/>
  <c r="N12" i="3"/>
  <c r="Y13" i="3"/>
  <c r="S13" i="3"/>
  <c r="R13" i="3"/>
  <c r="N13" i="3"/>
  <c r="Y14" i="3"/>
  <c r="S14" i="3"/>
  <c r="R14" i="3"/>
  <c r="N14" i="3"/>
  <c r="Y3" i="3" l="1"/>
  <c r="R3" i="3"/>
  <c r="N3" i="3"/>
  <c r="S3" i="3"/>
  <c r="T3" i="3" l="1"/>
  <c r="Y7" i="3"/>
  <c r="S7" i="3"/>
  <c r="R7" i="3"/>
  <c r="N7" i="3"/>
  <c r="Y5" i="3"/>
  <c r="S5" i="3"/>
  <c r="R5" i="3"/>
  <c r="N5" i="3"/>
  <c r="Y4" i="3"/>
  <c r="R4" i="3"/>
  <c r="N4" i="3"/>
  <c r="J4" i="3"/>
  <c r="S4" i="3" s="1"/>
  <c r="V40" i="2"/>
  <c r="O40" i="2"/>
  <c r="X38" i="2"/>
  <c r="T38" i="2"/>
  <c r="R38" i="2"/>
  <c r="O38" i="2"/>
  <c r="X37" i="2"/>
  <c r="T37" i="2"/>
  <c r="R37" i="2"/>
  <c r="O37" i="2"/>
  <c r="X33" i="2"/>
  <c r="T33" i="2"/>
  <c r="R33" i="2"/>
  <c r="O33" i="2"/>
  <c r="X31" i="2"/>
  <c r="V31" i="2"/>
  <c r="T31" i="2"/>
  <c r="R31" i="2"/>
  <c r="O31" i="2"/>
  <c r="X25" i="2"/>
  <c r="V25" i="2"/>
  <c r="T25" i="2"/>
  <c r="R25" i="2"/>
  <c r="O25" i="2"/>
  <c r="X18" i="2"/>
  <c r="V18" i="2"/>
  <c r="T18" i="2"/>
  <c r="R18" i="2"/>
  <c r="O18" i="2"/>
  <c r="X12" i="2"/>
  <c r="V12" i="2"/>
  <c r="T12" i="2"/>
  <c r="R12" i="2"/>
  <c r="O12" i="2"/>
  <c r="X28" i="2"/>
  <c r="V28" i="2"/>
  <c r="T28" i="2"/>
  <c r="R28" i="2"/>
  <c r="O28" i="2"/>
  <c r="X24" i="2"/>
  <c r="V24" i="2"/>
  <c r="T24" i="2"/>
  <c r="R24" i="2"/>
  <c r="O24" i="2"/>
  <c r="X15" i="2"/>
  <c r="V15" i="2"/>
  <c r="T15" i="2"/>
  <c r="R15" i="2"/>
  <c r="O15" i="2"/>
  <c r="X13" i="2"/>
  <c r="V13" i="2"/>
  <c r="T13" i="2"/>
  <c r="R13" i="2"/>
  <c r="O13" i="2"/>
  <c r="X7" i="2"/>
  <c r="V7" i="2"/>
  <c r="T7" i="2"/>
  <c r="R7" i="2"/>
  <c r="O7" i="2"/>
  <c r="X16" i="2"/>
  <c r="V16" i="2"/>
  <c r="T16" i="2"/>
  <c r="R16" i="2"/>
  <c r="O16" i="2"/>
  <c r="X9" i="2"/>
  <c r="V9" i="2"/>
  <c r="T9" i="2"/>
  <c r="R9" i="2"/>
  <c r="O9" i="2"/>
  <c r="X29" i="2"/>
  <c r="V29" i="2"/>
  <c r="T29" i="2"/>
  <c r="R29" i="2"/>
  <c r="O29" i="2"/>
  <c r="X22" i="2"/>
  <c r="V22" i="2"/>
  <c r="T22" i="2"/>
  <c r="R22" i="2"/>
  <c r="O22" i="2"/>
  <c r="X3" i="2"/>
  <c r="V3" i="2"/>
  <c r="T3" i="2"/>
  <c r="R3" i="2"/>
  <c r="O3" i="2"/>
  <c r="W12" i="1"/>
  <c r="U12" i="1"/>
  <c r="R12" i="1"/>
  <c r="P12" i="1"/>
  <c r="W11" i="1"/>
  <c r="U11" i="1"/>
  <c r="R11" i="1"/>
  <c r="P11" i="1"/>
  <c r="W10" i="1"/>
  <c r="U10" i="1"/>
  <c r="R10" i="1"/>
  <c r="P10" i="1"/>
  <c r="W9" i="1"/>
  <c r="U9" i="1"/>
  <c r="R9" i="1"/>
  <c r="P9" i="1"/>
  <c r="W8" i="1"/>
  <c r="U8" i="1"/>
  <c r="R8" i="1"/>
  <c r="P8" i="1"/>
  <c r="W7" i="1"/>
  <c r="U7" i="1"/>
  <c r="R7" i="1"/>
  <c r="P7" i="1"/>
  <c r="W6" i="1"/>
  <c r="U6" i="1"/>
  <c r="R6" i="1"/>
  <c r="P6" i="1"/>
  <c r="W4" i="1"/>
  <c r="U4" i="1"/>
  <c r="R4" i="1"/>
  <c r="P4" i="1"/>
  <c r="W3" i="1"/>
  <c r="U3" i="1"/>
  <c r="R3" i="1"/>
  <c r="P3" i="1"/>
  <c r="T4" i="3" l="1"/>
  <c r="T5" i="3"/>
  <c r="T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pch</author>
  </authors>
  <commentList>
    <comment ref="I6" authorId="0" shapeId="0" xr:uid="{72422639-82FD-409E-9F54-B842D70FC9C6}">
      <text>
        <r>
          <rPr>
            <b/>
            <sz val="9"/>
            <color indexed="81"/>
            <rFont val="Tahoma"/>
            <family val="2"/>
            <charset val="238"/>
          </rPr>
          <t>pch:</t>
        </r>
        <r>
          <rPr>
            <sz val="9"/>
            <color indexed="81"/>
            <rFont val="Tahoma"/>
            <family val="2"/>
            <charset val="238"/>
          </rPr>
          <t xml:space="preserve">
Inreality 57mm but low velocity making it almost useless against tanks</t>
        </r>
      </text>
    </comment>
    <comment ref="I7" authorId="0" shapeId="0" xr:uid="{FB989332-7312-4055-ABAF-0C1B9E5E9F35}">
      <text>
        <r>
          <rPr>
            <b/>
            <sz val="9"/>
            <color indexed="81"/>
            <rFont val="Tahoma"/>
            <family val="2"/>
            <charset val="238"/>
          </rPr>
          <t>pch:</t>
        </r>
        <r>
          <rPr>
            <sz val="9"/>
            <color indexed="81"/>
            <rFont val="Tahoma"/>
            <family val="2"/>
            <charset val="238"/>
          </rPr>
          <t xml:space="preserve">
Inreality 57mm but low velocity making it almost useless against tanks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pch</author>
  </authors>
  <commentList>
    <comment ref="F10" authorId="0" shapeId="0" xr:uid="{39B32AAD-A4C4-4D39-B7F0-F13B3CF98E81}">
      <text>
        <r>
          <rPr>
            <b/>
            <sz val="9"/>
            <color indexed="81"/>
            <rFont val="Tahoma"/>
            <family val="2"/>
            <charset val="238"/>
          </rPr>
          <t>pch:</t>
        </r>
        <r>
          <rPr>
            <sz val="9"/>
            <color indexed="81"/>
            <rFont val="Tahoma"/>
            <family val="2"/>
            <charset val="238"/>
          </rPr>
          <t xml:space="preserve">
10*356 + 16*133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pch</author>
  </authors>
  <commentList>
    <comment ref="I11" authorId="0" shapeId="0" xr:uid="{BCF8B623-3E9D-4E15-9671-1301145F4B77}">
      <text>
        <r>
          <rPr>
            <b/>
            <sz val="9"/>
            <color indexed="81"/>
            <rFont val="Tahoma"/>
            <family val="2"/>
            <charset val="238"/>
          </rPr>
          <t>pch:</t>
        </r>
        <r>
          <rPr>
            <sz val="9"/>
            <color indexed="81"/>
            <rFont val="Tahoma"/>
            <family val="2"/>
            <charset val="238"/>
          </rPr>
          <t xml:space="preserve">
2x7.7mm + 2x20mm</t>
        </r>
      </text>
    </comment>
    <comment ref="I12" authorId="0" shapeId="0" xr:uid="{584D6348-8F25-4DBB-A7F1-49FCC1841523}">
      <text>
        <r>
          <rPr>
            <b/>
            <sz val="9"/>
            <color indexed="81"/>
            <rFont val="Tahoma"/>
            <family val="2"/>
            <charset val="238"/>
          </rPr>
          <t>pch:</t>
        </r>
        <r>
          <rPr>
            <sz val="9"/>
            <color indexed="81"/>
            <rFont val="Tahoma"/>
            <family val="2"/>
            <charset val="238"/>
          </rPr>
          <t xml:space="preserve">
3x13mm + 2x20mm</t>
        </r>
      </text>
    </comment>
    <comment ref="I13" authorId="0" shapeId="0" xr:uid="{769C1B67-A6C1-4A8A-9200-A98936AC80C7}">
      <text>
        <r>
          <rPr>
            <b/>
            <sz val="9"/>
            <color indexed="81"/>
            <rFont val="Tahoma"/>
            <family val="2"/>
            <charset val="238"/>
          </rPr>
          <t>pch:</t>
        </r>
        <r>
          <rPr>
            <sz val="9"/>
            <color indexed="81"/>
            <rFont val="Tahoma"/>
            <family val="2"/>
            <charset val="238"/>
          </rPr>
          <t xml:space="preserve">
3x13mm + 2x20mm</t>
        </r>
      </text>
    </comment>
  </commentList>
</comments>
</file>

<file path=xl/sharedStrings.xml><?xml version="1.0" encoding="utf-8"?>
<sst xmlns="http://schemas.openxmlformats.org/spreadsheetml/2006/main" count="1037" uniqueCount="479">
  <si>
    <t>production 
green:&lt;=”39
Yello:”40-42
Blue:”43-45</t>
  </si>
  <si>
    <t>shoot range (m)</t>
  </si>
  <si>
    <t>shoot or round/min</t>
  </si>
  <si>
    <t>weight (tons)</t>
  </si>
  <si>
    <t>min armor (mm)</t>
  </si>
  <si>
    <t>max armor (mm)</t>
  </si>
  <si>
    <t>gun dia</t>
  </si>
  <si>
    <t>gun amount</t>
  </si>
  <si>
    <t>speed (km/h)</t>
  </si>
  <si>
    <t>op. Range (km)</t>
  </si>
  <si>
    <t>range calculator</t>
  </si>
  <si>
    <t>range</t>
  </si>
  <si>
    <t>cost</t>
  </si>
  <si>
    <t>hp calc</t>
  </si>
  <si>
    <t>hp</t>
  </si>
  <si>
    <t>armor calc</t>
  </si>
  <si>
    <t>armor</t>
  </si>
  <si>
    <t>armor exp</t>
  </si>
  <si>
    <t>speed calc</t>
  </si>
  <si>
    <t>speed</t>
  </si>
  <si>
    <t>power calc</t>
  </si>
  <si>
    <t>power</t>
  </si>
  <si>
    <t>bonus</t>
  </si>
  <si>
    <t>Tanks</t>
  </si>
  <si>
    <t>JP</t>
  </si>
  <si>
    <t>Ha-Go</t>
  </si>
  <si>
    <t>?</t>
  </si>
  <si>
    <t>GB</t>
  </si>
  <si>
    <t>Cruiser mkii (a10)</t>
  </si>
  <si>
    <t>Cromwell mk IV</t>
  </si>
  <si>
    <t>Churchill mk4</t>
  </si>
  <si>
    <t xml:space="preserve"> </t>
  </si>
  <si>
    <t>US</t>
  </si>
  <si>
    <t>M3 Stuart</t>
  </si>
  <si>
    <t>1941-1944</t>
  </si>
  <si>
    <t>M5 Stuart</t>
  </si>
  <si>
    <t>1942-1944</t>
  </si>
  <si>
    <t>M2A1 Medium Tank</t>
  </si>
  <si>
    <t>1939-1941</t>
  </si>
  <si>
    <t>2 action with 7-7- power
+100% bonus on infantry (double machineguns)</t>
  </si>
  <si>
    <t>sherman</t>
  </si>
  <si>
    <t>1942-1957</t>
  </si>
  <si>
    <t>M26 Pershing</t>
  </si>
  <si>
    <t>1944-1950</t>
  </si>
  <si>
    <t>GER</t>
  </si>
  <si>
    <t>panzer I</t>
  </si>
  <si>
    <t>1934-1938</t>
  </si>
  <si>
    <t>5*2</t>
  </si>
  <si>
    <t>2action, bonus on infantry</t>
  </si>
  <si>
    <t>panzer II</t>
  </si>
  <si>
    <t>1935-1943</t>
  </si>
  <si>
    <t>6*2</t>
  </si>
  <si>
    <t>panzer III (ausf j+)</t>
  </si>
  <si>
    <t>1939-1943</t>
  </si>
  <si>
    <t>Panzer IV ausf D</t>
  </si>
  <si>
    <t>1939-1945</t>
  </si>
  <si>
    <t>Panzer IV ausf J</t>
  </si>
  <si>
    <t>1942-1945</t>
  </si>
  <si>
    <t>panther ausf-D</t>
  </si>
  <si>
    <t>1943-1945</t>
  </si>
  <si>
    <t>Tiger I</t>
  </si>
  <si>
    <t>Tiger II (king-tiger)</t>
  </si>
  <si>
    <t>Maus</t>
  </si>
  <si>
    <t>Ratte</t>
  </si>
  <si>
    <t>never</t>
  </si>
  <si>
    <t>RU</t>
  </si>
  <si>
    <t>T-60</t>
  </si>
  <si>
    <t>1941-1942</t>
  </si>
  <si>
    <t>???</t>
  </si>
  <si>
    <t>T-70</t>
  </si>
  <si>
    <t>1942-1943</t>
  </si>
  <si>
    <t>T-26</t>
  </si>
  <si>
    <t>1931-1941</t>
  </si>
  <si>
    <t>BT-7</t>
  </si>
  <si>
    <t>1935-1940</t>
  </si>
  <si>
    <t>T-34</t>
  </si>
  <si>
    <t>1940-1958</t>
  </si>
  <si>
    <t>T-28</t>
  </si>
  <si>
    <t>1932-1941</t>
  </si>
  <si>
    <t>KV-1</t>
  </si>
  <si>
    <t>KV-5</t>
  </si>
  <si>
    <t>only concept 1941</t>
  </si>
  <si>
    <t>KV-85</t>
  </si>
  <si>
    <t>IS-1</t>
  </si>
  <si>
    <t>1943-1944</t>
  </si>
  <si>
    <t>IS-2</t>
  </si>
  <si>
    <t>Special units</t>
  </si>
  <si>
    <t>M3a1 Satan</t>
  </si>
  <si>
    <t>Goliath Tracked Mine</t>
  </si>
  <si>
    <t>Anti Tank Tanks</t>
  </si>
  <si>
    <t>*red values are just assumptions - i have not found any documentary</t>
  </si>
  <si>
    <t>Su-76 SUCHKA</t>
  </si>
  <si>
    <t>+300% bonus on tanks</t>
  </si>
  <si>
    <t>SU 85</t>
  </si>
  <si>
    <t>1943-1950</t>
  </si>
  <si>
    <t>SU 100</t>
  </si>
  <si>
    <t>1945-1967</t>
  </si>
  <si>
    <t>ISU 122</t>
  </si>
  <si>
    <t>1943-1958</t>
  </si>
  <si>
    <t>ISU 152</t>
  </si>
  <si>
    <t>1943-1970</t>
  </si>
  <si>
    <t>Hellcat</t>
  </si>
  <si>
    <t>marder II</t>
  </si>
  <si>
    <t>Jagdpanzer IV</t>
  </si>
  <si>
    <t>StuG III</t>
  </si>
  <si>
    <t>1940-1944</t>
  </si>
  <si>
    <t>StuG IV</t>
  </si>
  <si>
    <t>nashorn</t>
  </si>
  <si>
    <t>jagdpanther</t>
  </si>
  <si>
    <t>1944-1945</t>
  </si>
  <si>
    <t>Elephant</t>
  </si>
  <si>
    <t>jagdtiger</t>
  </si>
  <si>
    <t>AA</t>
  </si>
  <si>
    <t>bofors40 L60</t>
  </si>
  <si>
    <t>1932-present</t>
  </si>
  <si>
    <t>+1000% on air units</t>
  </si>
  <si>
    <t>bofors40 L70</t>
  </si>
  <si>
    <t>+1200% on air units</t>
  </si>
  <si>
    <t>76 mm air defense gun M1938</t>
  </si>
  <si>
    <t>1938-1940</t>
  </si>
  <si>
    <t>85 mm air defense gun M1939</t>
  </si>
  <si>
    <t>72-K GAZ–MM</t>
  </si>
  <si>
    <t>1940-1941</t>
  </si>
  <si>
    <t>2 actions +160% on air units</t>
  </si>
  <si>
    <t>T-90 SPAAG</t>
  </si>
  <si>
    <t>flak 88 air: 8000</t>
  </si>
  <si>
    <t>1933-1945</t>
  </si>
  <si>
    <t>M16 AA</t>
  </si>
  <si>
    <t>Flakpanzer IV Wirbelwind</t>
  </si>
  <si>
    <t>anti tank guns</t>
  </si>
  <si>
    <t>88 ground: 15000</t>
  </si>
  <si>
    <t>+300% vehicles and tank killers
+400% bonus on tanks</t>
  </si>
  <si>
    <t>3.7 cm Pak 36</t>
  </si>
  <si>
    <t>5 cm Pak 38 (L/60)</t>
  </si>
  <si>
    <t>1940-1943</t>
  </si>
  <si>
    <t>+100% noncombat units
+300% light tanks
+250% medium &amp;tank killer
+10% heavy tanks</t>
  </si>
  <si>
    <t>1938 76mm AT</t>
  </si>
  <si>
    <t>+400% bonus on tanks</t>
  </si>
  <si>
    <t>45 mm anti-tank gun M1937 (53-K)</t>
  </si>
  <si>
    <t>1937-1943</t>
  </si>
  <si>
    <t>57 mm anti-tank gun M1943 (ZiS-2)</t>
  </si>
  <si>
    <t>1941-1945</t>
  </si>
  <si>
    <t>cannons</t>
  </si>
  <si>
    <t>M12 GMC (155 mm)</t>
  </si>
  <si>
    <t>Howitzer on tank or other chassis</t>
  </si>
  <si>
    <t>SU 122</t>
  </si>
  <si>
    <t>+100% buildings
+100% infantry</t>
  </si>
  <si>
    <t>SU 152</t>
  </si>
  <si>
    <t>1943-1954</t>
  </si>
  <si>
    <t xml:space="preserve">KV2 </t>
  </si>
  <si>
    <t>+100% buildings
+100% infantry
+600% Ships_Carrier
+600% battleships                                                                                +100% light tanks                                                                                 +50% medium tanks</t>
  </si>
  <si>
    <t>sturmpanzer I</t>
  </si>
  <si>
    <t>sturmpanzer II bison</t>
  </si>
  <si>
    <t>Grille</t>
  </si>
  <si>
    <t>Wespe</t>
  </si>
  <si>
    <t>Stuh 42</t>
  </si>
  <si>
    <t>Hummel (howitzer)</t>
  </si>
  <si>
    <t>Stupa</t>
  </si>
  <si>
    <t>sturmtiger Sturmmörserwagen 606/4 mit 38 cm RW 61</t>
  </si>
  <si>
    <t>+100% infantry</t>
  </si>
  <si>
    <t>T19 Howitzer Motor Carriage</t>
  </si>
  <si>
    <t>+100% buildings
+100% infantry
+400% Ships_Carrier
+400% battleships                                                                             +100% light tanks                                                                                 +20% medium tanks</t>
  </si>
  <si>
    <t>M7 Priest (howitzer, tank chassis)</t>
  </si>
  <si>
    <t>M8 Scott(howitzer, tank chassis)</t>
  </si>
  <si>
    <t xml:space="preserve">+100% buildings
+80% infantry
+300% Ships_Carrier
+300% battleships                                                                             +100% light tanks                                                                                </t>
  </si>
  <si>
    <t>Howitzer  guns</t>
  </si>
  <si>
    <t>M101A1 105 mm Howitzer</t>
  </si>
  <si>
    <t>1941-1953</t>
  </si>
  <si>
    <t xml:space="preserve">+100% buildings
+100% infantry
+400% Ships_Carrier
+400% battleships                                                                              +100% light tanks                                                                                 +20% medium tanks      </t>
  </si>
  <si>
    <t>155howtzer: 23 000</t>
  </si>
  <si>
    <t>203 mm howitzer M1931 (B-4)</t>
  </si>
  <si>
    <t>+150% buildings
+150% infantry
+800% Ships_Carrier
+800% battleships                                                                                +150% light tanks                                                                                 +80% medium tanks</t>
  </si>
  <si>
    <t>152 mm howitzer-gun M1937 (ML-20)</t>
  </si>
  <si>
    <t>122 mm howitzer M1938 (M-30)</t>
  </si>
  <si>
    <t>1939-1960</t>
  </si>
  <si>
    <t>+100% buildings
+100% infantry
+600% Ships_Carrier
+600% battleships</t>
  </si>
  <si>
    <t>10.5 cm leFH 18</t>
  </si>
  <si>
    <t>1935-1945</t>
  </si>
  <si>
    <t>M1 155 mm Long Tom</t>
  </si>
  <si>
    <t>SCUD typeB ebrus r127</t>
  </si>
  <si>
    <t>Others</t>
  </si>
  <si>
    <t>katyusha</t>
  </si>
  <si>
    <t>Zis6 Armor</t>
  </si>
  <si>
    <t>Ger</t>
  </si>
  <si>
    <t>at rifle 100-400</t>
  </si>
  <si>
    <t>15 kg</t>
  </si>
  <si>
    <t>17 kg</t>
  </si>
  <si>
    <t>ZIS-6= Soviet Transport Truck</t>
  </si>
  <si>
    <t>PzIII and II can get double action</t>
  </si>
  <si>
    <t>name</t>
  </si>
  <si>
    <t>production</t>
  </si>
  <si>
    <t>gun size mm (biggest)</t>
  </si>
  <si>
    <t>longest shoot range (m)</t>
  </si>
  <si>
    <t>armor mm</t>
  </si>
  <si>
    <t>range calc</t>
  </si>
  <si>
    <t>nr. Of attacks</t>
  </si>
  <si>
    <t>lexington aircraft. Carrier</t>
  </si>
  <si>
    <t>1927-1945</t>
  </si>
  <si>
    <t xml:space="preserve">  ships+300%</t>
  </si>
  <si>
    <t>subs +100% ships+200% battl/carrier +400%</t>
  </si>
  <si>
    <t>sumner destroyer</t>
  </si>
  <si>
    <t>subs +300% ships+200% battl/carrier +400%</t>
  </si>
  <si>
    <t xml:space="preserve">battl: wyoming </t>
  </si>
  <si>
    <t>1910-1912</t>
  </si>
  <si>
    <t xml:space="preserve">  ships+600% battl/carrier +800%</t>
  </si>
  <si>
    <t xml:space="preserve">cruiser northhampton </t>
  </si>
  <si>
    <t>1928-1931</t>
  </si>
  <si>
    <t xml:space="preserve">  ships+300% battl/carrier +500%</t>
  </si>
  <si>
    <t>Graf Zeppelin-class aircraft carrier</t>
  </si>
  <si>
    <t>never built</t>
  </si>
  <si>
    <t>battl. Bismark</t>
  </si>
  <si>
    <t>cruiser Deutschland</t>
  </si>
  <si>
    <t>1929-1936</t>
  </si>
  <si>
    <t>Type 1934A-class destroyer</t>
  </si>
  <si>
    <t>1935-1936</t>
  </si>
  <si>
    <t>Gangut-class battleship</t>
  </si>
  <si>
    <t>Kirov-class cruiser</t>
  </si>
  <si>
    <t>Soobrazitelnyy-class destroyer</t>
  </si>
  <si>
    <t>Gnevny-class_destroyer</t>
  </si>
  <si>
    <t>submarines</t>
  </si>
  <si>
    <t>10 × 21-inch (533 mm) torpedo tubes
1 × 3-inch (76 mm) / 50 caliber deck gun[4]
Bofors 40 mm and Oerlikon 20 mm cannon</t>
  </si>
  <si>
    <t>type VII uboats</t>
  </si>
  <si>
    <t xml:space="preserve">    5 × 53.3 cm (21 in) torpedo tubes (4 bow, 1 stern)[1]
    14 × torpedoes or 26 TMA or 39 TMB mines
    1 × 8.8 cm SK C/35 naval gun[5] with 220 rounds
    Various anti aircraft weaponry</t>
  </si>
  <si>
    <t>Shchuka-class submarine</t>
  </si>
  <si>
    <t xml:space="preserve">    4 × bow torpedo tubes
    2 × stern torpedo tubes
    (10 torpedoes)
    2 × 45 mm (1.8 in) semi-automatic guns</t>
  </si>
  <si>
    <t>http://www.militaryfactory.com/armor/self-propelled-guns.asp</t>
  </si>
  <si>
    <t>Nation</t>
  </si>
  <si>
    <t>empty 
weight (kg)</t>
  </si>
  <si>
    <t>max flight speed (km/h)</t>
  </si>
  <si>
    <t>flight range (km) - combat radius</t>
  </si>
  <si>
    <t>gun caliber (mm)</t>
  </si>
  <si>
    <t>gun count</t>
  </si>
  <si>
    <t>bomb weight (kg)</t>
  </si>
  <si>
    <t>armor/hp</t>
  </si>
  <si>
    <t>attack</t>
  </si>
  <si>
    <t>hpcalc</t>
  </si>
  <si>
    <t>armorcalc</t>
  </si>
  <si>
    <t>powercalc</t>
  </si>
  <si>
    <t>bombing power</t>
  </si>
  <si>
    <t>bonus to set vs. Buildings</t>
  </si>
  <si>
    <t>speedcalc</t>
  </si>
  <si>
    <t>Wildcat</t>
  </si>
  <si>
    <t>1937-1945</t>
  </si>
  <si>
    <t>High Armor, High Hp</t>
  </si>
  <si>
    <t>Medium Attack</t>
  </si>
  <si>
    <t>RUS</t>
  </si>
  <si>
    <t>Yakolev Yak-1</t>
  </si>
  <si>
    <t>Low HP more than bombers, High Armor more than MeBF</t>
  </si>
  <si>
    <t>High Attack</t>
  </si>
  <si>
    <t>Messerschmitt BF109</t>
  </si>
  <si>
    <t>High HP more than wildcat, Medium Armor more than corsair</t>
  </si>
  <si>
    <t>Spitfire</t>
  </si>
  <si>
    <t>1938-1948</t>
  </si>
  <si>
    <t>figterbombers</t>
  </si>
  <si>
    <t>Corsair</t>
  </si>
  <si>
    <t>1942-1953</t>
  </si>
  <si>
    <t>High HP less than Wildcat, Medium Armor</t>
  </si>
  <si>
    <t>Medium Attack less than wildcat</t>
  </si>
  <si>
    <t>buldings+300 others +100% ships +200% carrier +800%</t>
  </si>
  <si>
    <t>Focke-Wulf Fw 190</t>
  </si>
  <si>
    <t>Small Sight, High Armor, Medium HP</t>
  </si>
  <si>
    <t>Medium Attack more than wildcat</t>
  </si>
  <si>
    <t>IL-2</t>
  </si>
  <si>
    <t>High Armor less than Focke-Wulf, Medium HP more than Focke-wulf</t>
  </si>
  <si>
    <t>bombers</t>
  </si>
  <si>
    <t>Tupolev Tu-2</t>
  </si>
  <si>
    <t>1941-1948</t>
  </si>
  <si>
    <t>Medium HP more than Focke-wulf, Low Armor</t>
  </si>
  <si>
    <t>Medium Attack more than Junker</t>
  </si>
  <si>
    <t>tanks +600, buldings+1000% ships +1500% carrier +3000%</t>
  </si>
  <si>
    <t>B17 Flying Fortress</t>
  </si>
  <si>
    <t>1936-1945</t>
  </si>
  <si>
    <t>Low Armor, Low Hp</t>
  </si>
  <si>
    <t>Junker Ju88</t>
  </si>
  <si>
    <t>1939-1951</t>
  </si>
  <si>
    <t>Medium Armor less than corsair, Medium HP less than Focke-wulf</t>
  </si>
  <si>
    <t>me 262</t>
  </si>
  <si>
    <t>1909-1914</t>
  </si>
  <si>
    <t>1935–1944</t>
  </si>
  <si>
    <t>1936–1942</t>
  </si>
  <si>
    <t xml:space="preserve"> 1935–1942</t>
  </si>
  <si>
    <t>1940–1944</t>
  </si>
  <si>
    <t>1934-</t>
  </si>
  <si>
    <t>1940-</t>
  </si>
  <si>
    <t>1938–1948</t>
  </si>
  <si>
    <t>1942–</t>
  </si>
  <si>
    <t>1941–45</t>
  </si>
  <si>
    <t>1941–1945</t>
  </si>
  <si>
    <t>1937-</t>
  </si>
  <si>
    <t>1941–1948</t>
  </si>
  <si>
    <t>1936–1945</t>
  </si>
  <si>
    <t>1939-</t>
  </si>
  <si>
    <t>F2A Buffalo</t>
  </si>
  <si>
    <t>1938–1941</t>
  </si>
  <si>
    <t>Polikarpov I-16</t>
  </si>
  <si>
    <t xml:space="preserve"> 1934–1942</t>
  </si>
  <si>
    <t>Tupolev_TB-3</t>
  </si>
  <si>
    <t>1932–1937</t>
  </si>
  <si>
    <t>M24 Chaffee</t>
  </si>
  <si>
    <t>T29 Heavy Tank</t>
  </si>
  <si>
    <t>1945-</t>
  </si>
  <si>
    <t>M6A2E1 Heavy Tank</t>
  </si>
  <si>
    <t>T28-95 Superheavy tank</t>
  </si>
  <si>
    <t>M10 Wolverine</t>
  </si>
  <si>
    <t>M36 Jackson</t>
  </si>
  <si>
    <t>M36 Jackson late</t>
  </si>
  <si>
    <t>Sherman Calliope</t>
  </si>
  <si>
    <t>M6 Heavy Tank</t>
  </si>
  <si>
    <t>M26 Super Pershing</t>
  </si>
  <si>
    <t>extra bonus against tanks - because of bigger caliber shells</t>
  </si>
  <si>
    <t>P-38 Lightning</t>
  </si>
  <si>
    <t>paratrooper transports</t>
  </si>
  <si>
    <t>Douglas_C-47_Skytrain</t>
  </si>
  <si>
    <t>1941-</t>
  </si>
  <si>
    <t>Ju52</t>
  </si>
  <si>
    <t>1931-</t>
  </si>
  <si>
    <t>1944-</t>
  </si>
  <si>
    <t>sherman Jumbo</t>
  </si>
  <si>
    <t>IT</t>
  </si>
  <si>
    <t>fiat m13/40</t>
  </si>
  <si>
    <t>1940-1948</t>
  </si>
  <si>
    <t>Aichi M6A1 Seiran</t>
  </si>
  <si>
    <t>Seaplane BV 238</t>
  </si>
  <si>
    <t>Seaplane PBY catalina</t>
  </si>
  <si>
    <t>1940–1943</t>
  </si>
  <si>
    <t>Seaplane mbr 2</t>
  </si>
  <si>
    <t>Hellcat upgraded</t>
  </si>
  <si>
    <t>HT-26</t>
  </si>
  <si>
    <t>ki27 Nate</t>
  </si>
  <si>
    <t>Mitsubishi G3M</t>
  </si>
  <si>
    <t>1935-</t>
  </si>
  <si>
    <t>Mitsubishi G4M Hamaki</t>
  </si>
  <si>
    <t>J7W1-Shinden</t>
  </si>
  <si>
    <t>J7W2-Shinden Kai</t>
  </si>
  <si>
    <t>Fuso class Battleship</t>
  </si>
  <si>
    <t>1912-1918</t>
  </si>
  <si>
    <t>Furutaka class cruiser</t>
  </si>
  <si>
    <t>1930-</t>
  </si>
  <si>
    <t>1918-</t>
  </si>
  <si>
    <t>Momi class destroyer</t>
  </si>
  <si>
    <t>Minekaze class destroyer</t>
  </si>
  <si>
    <t>1919-</t>
  </si>
  <si>
    <t>(surfaced)</t>
  </si>
  <si>
    <t>• 6 × 533 mm (21 in) torpedo tubes
(4 × bow, 2 × aft)
• 22 × Type 89 torpedoes
• 2 × 140 mm (5.5 in) L/40 11th Year Type Naval guns[2]
• 1 × 7.7 mm machine gun</t>
  </si>
  <si>
    <t>I-1-class submarine</t>
  </si>
  <si>
    <t>Sōryū class aircraft carrier</t>
  </si>
  <si>
    <t>Type94_tankette</t>
  </si>
  <si>
    <t>1935-1937</t>
  </si>
  <si>
    <t>work az panzer 1</t>
  </si>
  <si>
    <t>Type 89 I-Go (Chi-Ro)</t>
  </si>
  <si>
    <t>type97_chi_ha</t>
  </si>
  <si>
    <t>1938-1943</t>
  </si>
  <si>
    <t>Type 3 Chi-Nu</t>
  </si>
  <si>
    <t>Type 2 Ka-Mi (swimming tank)</t>
  </si>
  <si>
    <t>Type 97 ShinHoTo Chi-Ha</t>
  </si>
  <si>
    <t>Type 1 Chi-He</t>
  </si>
  <si>
    <t>Type 1 Ho-Ni I</t>
  </si>
  <si>
    <t>Type 1 Ho-Ni II</t>
  </si>
  <si>
    <t>type91_10cm_howitzer</t>
  </si>
  <si>
    <t>1931-1944</t>
  </si>
  <si>
    <t>type90_75mm_howitzer</t>
  </si>
  <si>
    <t>1932-1945</t>
  </si>
  <si>
    <t>Type 2 Ho-I</t>
  </si>
  <si>
    <t>Type 4 Chi-To</t>
  </si>
  <si>
    <t>Type 5 Chi-Ri</t>
  </si>
  <si>
    <t>Superheeavy O-I</t>
  </si>
  <si>
    <t>A6M2 Zero (Type 0 Model 21)</t>
  </si>
  <si>
    <t>A6M5  Zero</t>
  </si>
  <si>
    <t>A6M8  Zero</t>
  </si>
  <si>
    <t>extra: + rocket</t>
  </si>
  <si>
    <t>Ki-34 Thora</t>
  </si>
  <si>
    <t>1936-</t>
  </si>
  <si>
    <t>Type 88 75mm AA gun</t>
  </si>
  <si>
    <t>Type 99 88mm AA gun</t>
  </si>
  <si>
    <t>(max fire range)</t>
  </si>
  <si>
    <t>Junker Ju87 Stuka</t>
  </si>
  <si>
    <t>planes +180%</t>
  </si>
  <si>
    <t>planes +500%</t>
  </si>
  <si>
    <t xml:space="preserve">planes +500% </t>
  </si>
  <si>
    <t>sub-killers</t>
  </si>
  <si>
    <t>destroyers</t>
  </si>
  <si>
    <t>cruisers</t>
  </si>
  <si>
    <t>battleships</t>
  </si>
  <si>
    <t>aircraft carriers</t>
  </si>
  <si>
    <r>
      <t xml:space="preserve">    4 × twin guns (203mm)
</t>
    </r>
    <r>
      <rPr>
        <sz val="8"/>
        <color rgb="FFFF0000"/>
        <rFont val="Calibri"/>
        <family val="2"/>
        <charset val="238"/>
      </rPr>
      <t xml:space="preserve">    12 × single anti-aircraft guns (127mm)</t>
    </r>
  </si>
  <si>
    <r>
      <t xml:space="preserve">6 × twin 12.7 cm Type 89 dual-purpose guns
</t>
    </r>
    <r>
      <rPr>
        <sz val="8"/>
        <color rgb="FFFF0000"/>
        <rFont val="Calibri"/>
        <family val="2"/>
        <charset val="238"/>
      </rPr>
      <t>14 × twin 25 mm Type 96 AA guns</t>
    </r>
  </si>
  <si>
    <r>
      <t xml:space="preserve">    16 × 15 cm SK C/28 guns
</t>
    </r>
    <r>
      <rPr>
        <sz val="8"/>
        <color rgb="FFFF0000"/>
        <rFont val="Calibri"/>
        <family val="2"/>
        <charset val="238"/>
      </rPr>
      <t xml:space="preserve">    12 × 10.5 cm SK C/33 guns
    22 × 3.7 cm SK C/30 guns
    28 × 2 cm FlaK guns</t>
    </r>
  </si>
  <si>
    <r>
      <t xml:space="preserve">    12 × 12 in (305 mm)/50 caliber Mark 7 guns
    21 × 5 in (127 mm)/51 cal guns
</t>
    </r>
    <r>
      <rPr>
        <sz val="8"/>
        <color rgb="FFFF0000"/>
        <rFont val="Calibri"/>
        <family val="2"/>
        <charset val="238"/>
      </rPr>
      <t xml:space="preserve">    4 × 3-pounder 47 mm (1.85 in)/40 cal saluting guns</t>
    </r>
    <r>
      <rPr>
        <sz val="8"/>
        <color rgb="FF000000"/>
        <rFont val="Calibri"/>
        <family val="2"/>
        <charset val="238"/>
      </rPr>
      <t xml:space="preserve">
    2 × 21 in (533 mm) torpedo tubes (submerged)</t>
    </r>
  </si>
  <si>
    <r>
      <t xml:space="preserve">6 × twin 356 mm (14 in) guns
16 × single 152 mm (6 in) guns
</t>
    </r>
    <r>
      <rPr>
        <sz val="8"/>
        <color rgb="FFFF0000"/>
        <rFont val="Calibri"/>
        <family val="2"/>
        <charset val="238"/>
      </rPr>
      <t>5 × single 76 mm (3 in) AA guns</t>
    </r>
    <r>
      <rPr>
        <sz val="8"/>
        <color rgb="FF000000"/>
        <rFont val="Calibri"/>
        <family val="2"/>
        <charset val="238"/>
      </rPr>
      <t xml:space="preserve">
6 × 533 mm (21 in) torpedo tubes</t>
    </r>
  </si>
  <si>
    <r>
      <t xml:space="preserve">
    4 × 3 – 12-inch (305 mm)/52 guns
    16 × 1 – 4.7-inch (120 mm) guns
</t>
    </r>
    <r>
      <rPr>
        <sz val="8"/>
        <color rgb="FFFF0000"/>
        <rFont val="Calibri"/>
        <family val="2"/>
        <charset val="238"/>
      </rPr>
      <t xml:space="preserve">    1 × 1 – 3-inch (76 mm) Lender AA gun</t>
    </r>
    <r>
      <rPr>
        <sz val="8"/>
        <color rgb="FF000000"/>
        <rFont val="Calibri"/>
        <family val="2"/>
        <charset val="238"/>
      </rPr>
      <t xml:space="preserve">
    4 × 1 – 17.7-inch (450 mm) submerged torpedo tubes
</t>
    </r>
  </si>
  <si>
    <r>
      <t xml:space="preserve">    8 × 38 cm (15 in) SK C/34 (4 × 2)
    12 × 15 cm (5.9 in) SK C/28 (6 × 2)
</t>
    </r>
    <r>
      <rPr>
        <sz val="8"/>
        <color rgb="FFFF0000"/>
        <rFont val="Calibri"/>
        <family val="2"/>
        <charset val="238"/>
      </rPr>
      <t xml:space="preserve">    16 × 10.5 cm (4.1 in) SK C/33 (8 × 2)
    16 × 3.7 cm (1.5 in) SK C/30 (8 × 2)
    12 × 2 cm (0.79 in) FlaK 30 (12 × 1)</t>
    </r>
  </si>
  <si>
    <r>
      <t xml:space="preserve">    6 × 28 cm (11 in) in triple turrets
    8 × 15 cm (5.9 in) in single turrets
    8 × 53.3 cm (21.0 in) torpedo tubes
</t>
    </r>
    <r>
      <rPr>
        <sz val="8"/>
        <color rgb="FFFF0000"/>
        <rFont val="Calibri"/>
        <family val="2"/>
        <charset val="238"/>
      </rPr>
      <t xml:space="preserve">    6 x 8.8 cm L/78 guns (anti air)</t>
    </r>
  </si>
  <si>
    <r>
      <t xml:space="preserve">    9 × 8 in/55 caliber guns (3×triple turrets)
    8 × 5 in/25 caliber guns[1]
</t>
    </r>
    <r>
      <rPr>
        <sz val="8"/>
        <color rgb="FFFF0000"/>
        <rFont val="Calibri"/>
        <family val="2"/>
        <charset val="238"/>
      </rPr>
      <t xml:space="preserve">    2 × 3-pounder 47 mm (1.9 in) saluting guns
    24 × 40 mm Bofors guns (4×quadruple turrets)[2]
    28 × 20 mm Oerlikon cannons[3]</t>
    </r>
    <r>
      <rPr>
        <sz val="8"/>
        <color rgb="FF000000"/>
        <rFont val="Calibri"/>
        <family val="2"/>
        <charset val="238"/>
      </rPr>
      <t xml:space="preserve">
    6 × 21-inch torpedo tubes</t>
    </r>
  </si>
  <si>
    <r>
      <t xml:space="preserve">3 × 3 - 180 mm (7.1 in) B-1-P guns
6 × 1 - 100 mm (3.9 in) B-34 dual-purpose guns
</t>
    </r>
    <r>
      <rPr>
        <sz val="8"/>
        <color rgb="FFFF0000"/>
        <rFont val="Calibri"/>
        <family val="2"/>
        <charset val="238"/>
      </rPr>
      <t>6 × 1 - 45-mm (1.8 in) 21-K AA gun
4 × 1 - 12.7 mm (0.50 in) AA machine guns</t>
    </r>
    <r>
      <rPr>
        <sz val="8"/>
        <color rgb="FF000000"/>
        <rFont val="Calibri"/>
        <family val="2"/>
        <charset val="238"/>
      </rPr>
      <t xml:space="preserve">
2 × 3 - 533mm (21.0 in) torpedo tubes</t>
    </r>
  </si>
  <si>
    <r>
      <t xml:space="preserve">armament (text for help defining bonuses) </t>
    </r>
    <r>
      <rPr>
        <b/>
        <sz val="11"/>
        <color rgb="FFFF0000"/>
        <rFont val="Calibri"/>
        <family val="2"/>
        <charset val="238"/>
      </rPr>
      <t>red: AA guns</t>
    </r>
  </si>
  <si>
    <r>
      <t xml:space="preserve">   3 × twin 20.3 cm (8 in) guns
</t>
    </r>
    <r>
      <rPr>
        <sz val="8"/>
        <color rgb="FFFF0000"/>
        <rFont val="Calibri"/>
        <family val="2"/>
        <charset val="238"/>
      </rPr>
      <t>4 × single 12 cm (4.7 in) AA guns
4 × twin 25 mm (1.0 in) AA guns</t>
    </r>
    <r>
      <rPr>
        <sz val="8"/>
        <color rgb="FF000000"/>
        <rFont val="Calibri"/>
        <family val="2"/>
        <charset val="238"/>
      </rPr>
      <t xml:space="preserve">
4 × twin 61 cm (24 in) torpedo tubes</t>
    </r>
  </si>
  <si>
    <r>
      <t xml:space="preserve">    5 × single 5 127mm,
</t>
    </r>
    <r>
      <rPr>
        <sz val="8"/>
        <color rgb="FFFF0000"/>
        <rFont val="Calibri"/>
        <family val="2"/>
        <charset val="238"/>
      </rPr>
      <t xml:space="preserve">    6–10 × 40 mm Bofors AA guns 
    7–12 × 20 mm Oerlikon autocannons,</t>
    </r>
    <r>
      <rPr>
        <sz val="8"/>
        <color rgb="FF000000"/>
        <rFont val="Calibri"/>
        <family val="2"/>
        <charset val="238"/>
      </rPr>
      <t xml:space="preserve">
    10 × 21 inch (533 mm) torpedo tubes (2 × 5; Mark 15 torpedoes) </t>
    </r>
  </si>
  <si>
    <r>
      <t xml:space="preserve">    5 × single 12.7 cm (5 in) guns
</t>
    </r>
    <r>
      <rPr>
        <sz val="8"/>
        <color rgb="FFFF0000"/>
        <rFont val="Calibri"/>
        <family val="2"/>
        <charset val="238"/>
      </rPr>
      <t xml:space="preserve">    2 × twin 3.7 cm (1.5 in) SK C/30 guns
    6 × single 2 cm (0.79 in) C/30 guns</t>
    </r>
    <r>
      <rPr>
        <sz val="8"/>
        <color rgb="FF000000"/>
        <rFont val="Calibri"/>
        <family val="2"/>
        <charset val="238"/>
      </rPr>
      <t xml:space="preserve">
    2 × quadruple 53.3 cm (21 in) torpedo tubes  
</t>
    </r>
  </si>
  <si>
    <r>
      <t xml:space="preserve">4 × 1 – 130 mm (5.1 in) B-13 guns
</t>
    </r>
    <r>
      <rPr>
        <sz val="8"/>
        <color rgb="FFFF0000"/>
        <rFont val="Calibri"/>
        <family val="2"/>
        <charset val="238"/>
      </rPr>
      <t>2 × 1 – 76.2 mm (3.00 in) 34-K AA guns
3 × 1 – 45 mm (1.8 in) 21-K AA guns
4 × 1 – 12.7 mm (0.50 in) DK or DShK machine guns</t>
    </r>
    <r>
      <rPr>
        <sz val="8"/>
        <color rgb="FF000000"/>
        <rFont val="Calibri"/>
        <family val="2"/>
        <charset val="238"/>
      </rPr>
      <t xml:space="preserve">
3 × 2 – 533 mm (21.0 in) torpedo tubes</t>
    </r>
  </si>
  <si>
    <r>
      <t xml:space="preserve">4 × Type 3 120 mm 45 caliber naval gun
</t>
    </r>
    <r>
      <rPr>
        <sz val="8"/>
        <color rgb="FFFF0000"/>
        <rFont val="Calibri"/>
        <family val="2"/>
        <charset val="238"/>
      </rPr>
      <t>2 × 7.7mm machine guns</t>
    </r>
    <r>
      <rPr>
        <sz val="8"/>
        <color rgb="FF000000"/>
        <rFont val="Calibri"/>
        <family val="2"/>
        <charset val="238"/>
      </rPr>
      <t xml:space="preserve">
6 × 53cm torpedoes
20 × mines</t>
    </r>
  </si>
  <si>
    <r>
      <t xml:space="preserve">3 × single 12 cm (4.7 in) Type 3 guns
2 × twin 53.3 cm (21.0 in) torpedo tubes
</t>
    </r>
    <r>
      <rPr>
        <sz val="8"/>
        <color rgb="FFFF0000"/>
        <rFont val="Calibri"/>
        <family val="2"/>
        <charset val="238"/>
      </rPr>
      <t>2 x 7.7mm (anti air)</t>
    </r>
  </si>
  <si>
    <r>
      <t xml:space="preserve">4 × 10.5 cm (4.1 in) SK C/32 guns
</t>
    </r>
    <r>
      <rPr>
        <sz val="8"/>
        <color rgb="FFFF0000"/>
        <rFont val="Calibri"/>
        <family val="2"/>
        <charset val="238"/>
      </rPr>
      <t>4 × 2 cm (0.79 in) C/30 anti-aircraft guns
9 × 3.7 cm (1.5 in) SK C/30 anti-aircraft cannons</t>
    </r>
    <r>
      <rPr>
        <sz val="8"/>
        <color rgb="FF000000"/>
        <rFont val="Calibri"/>
        <family val="2"/>
        <charset val="238"/>
      </rPr>
      <t xml:space="preserve">
6 × 533 mm (21.0 in) torpedo tubes</t>
    </r>
  </si>
  <si>
    <r>
      <t xml:space="preserve">6 × 5 in/38 cal guns (127 mm) (in 3 × 2 Mk 38 DP mounts)
</t>
    </r>
    <r>
      <rPr>
        <sz val="8"/>
        <color rgb="FFFF0000"/>
        <rFont val="Calibri"/>
        <family val="2"/>
        <charset val="238"/>
      </rPr>
      <t>12 × 40 mm Bofors AA guns (2 × 4 &amp; 2 × 2)
11 × 20 mm Oerlikon cannons</t>
    </r>
    <r>
      <rPr>
        <sz val="8"/>
        <color rgb="FF000000"/>
        <rFont val="Calibri"/>
        <family val="2"/>
        <charset val="238"/>
      </rPr>
      <t xml:space="preserve">
2 × Depth charge racks
6 × K-gun depth charge throwers
10 × 21 in (533 mm) torpedo tubes</t>
    </r>
  </si>
  <si>
    <r>
      <t xml:space="preserve">4 × 1 – 130 mm (5.1 in) B-13 guns
</t>
    </r>
    <r>
      <rPr>
        <sz val="8"/>
        <color rgb="FFFF0000"/>
        <rFont val="Calibri"/>
        <family val="2"/>
        <charset val="238"/>
      </rPr>
      <t>2 × 1 – 76.2 mm (3.00 in) 34-K AA guns
2 × 1 – 45 mm (1.8 in) 21-K AA guns
2 × 1 – 12.7 mm (0.50 in) DK or DShK machine guns</t>
    </r>
    <r>
      <rPr>
        <sz val="8"/>
        <color rgb="FF000000"/>
        <rFont val="Calibri"/>
        <family val="2"/>
        <charset val="238"/>
      </rPr>
      <t xml:space="preserve">
3 × 2 – 533 mm (21.0 in) torpedo tubes</t>
    </r>
  </si>
  <si>
    <t>AA range (biggest gun)</t>
  </si>
  <si>
    <t>AA biggest power (to damage)</t>
  </si>
  <si>
    <t>AA range (max of others)</t>
  </si>
  <si>
    <t>AA power others (to damage)</t>
  </si>
  <si>
    <t>biggest AA guns sum(mm * count)</t>
  </si>
  <si>
    <t>biggest AA max range</t>
  </si>
  <si>
    <t>other AA guns sum(mm * count)</t>
  </si>
  <si>
    <t>other AA max range</t>
  </si>
  <si>
    <t>heavy AA</t>
  </si>
  <si>
    <t>medium AA</t>
  </si>
  <si>
    <t>light AA</t>
  </si>
  <si>
    <t>Focke-Wulf Fw 190 - Fighter</t>
  </si>
  <si>
    <t>1944-1955</t>
  </si>
  <si>
    <t>1938–1940</t>
  </si>
  <si>
    <t>Illustrious aircraft. Carrier</t>
  </si>
  <si>
    <t>1940–1968</t>
  </si>
  <si>
    <r>
      <t xml:space="preserve">8 × twin QF 4.5-inch dual-purpose guns
</t>
    </r>
    <r>
      <rPr>
        <sz val="8"/>
        <color rgb="FFFF0000"/>
        <rFont val="Calibri"/>
        <family val="2"/>
        <charset val="238"/>
      </rPr>
      <t>6 × octuple QF 2-pdr anti-aircraft guns</t>
    </r>
  </si>
  <si>
    <t>heavy: &gt;7range+4-6 power
medi: &gt;4 range, 2-4 power</t>
  </si>
  <si>
    <t>King George V class battleship</t>
  </si>
  <si>
    <t>1940–1951</t>
  </si>
  <si>
    <r>
      <t xml:space="preserve">10 × BL 14 in (356 mm) Mark VII guns
16 × QF 5.25 in (133 mm) Mk. I DP guns
</t>
    </r>
    <r>
      <rPr>
        <sz val="8"/>
        <color rgb="FFFF0000"/>
        <rFont val="Calibri"/>
        <family val="2"/>
        <charset val="238"/>
      </rPr>
      <t>64 × QF 2 pdr 40 mm (1.6 in) Mk.VIII AA guns
10 × 40-mm Bofors</t>
    </r>
  </si>
  <si>
    <t>Dido-class cruiser</t>
  </si>
  <si>
    <t>1937–1943</t>
  </si>
  <si>
    <r>
      <t xml:space="preserve">10 × QF 5.25-inch (133 mm) guns ( 5×2)
</t>
    </r>
    <r>
      <rPr>
        <sz val="8"/>
        <color rgb="FFFF0000"/>
        <rFont val="Calibri"/>
        <family val="2"/>
        <charset val="238"/>
      </rPr>
      <t>8 × 0.5-inch (12.7 mm) Vickers machine gun mounts (2×4)
8 × QF 2-pounder (40 mm) pom-pom mounts (2×4)</t>
    </r>
    <r>
      <rPr>
        <sz val="8"/>
        <color rgb="FF000000"/>
        <rFont val="Calibri"/>
        <family val="2"/>
        <charset val="238"/>
      </rPr>
      <t xml:space="preserve">
6 × 21-inch (533 mm) torpedo tubes (2×3)</t>
    </r>
  </si>
  <si>
    <t>weight (t)</t>
  </si>
  <si>
    <t>J-class destroyer</t>
  </si>
  <si>
    <r>
      <t xml:space="preserve">3 × 2 QF 4.7-inch (120 mm) Mk XII guns
</t>
    </r>
    <r>
      <rPr>
        <sz val="8"/>
        <color rgb="FFFF0000"/>
        <rFont val="Calibri"/>
        <family val="2"/>
        <charset val="238"/>
      </rPr>
      <t>1 × 4 QF 2-pounder anti-aircraft guns
2 × 4 QF 0.5-inch (12.7 mm) Mk III anti-aircraft machineguns</t>
    </r>
    <r>
      <rPr>
        <sz val="8"/>
        <color rgb="FF000000"/>
        <rFont val="Calibri"/>
        <family val="2"/>
        <charset val="238"/>
      </rPr>
      <t xml:space="preserve">
2 × 5 21-inch (533 mm) torpedo tubes
20 × depth charges, 1 × rack, 2 × throwers</t>
    </r>
  </si>
  <si>
    <t>Tribal class destroyer</t>
  </si>
  <si>
    <t>1937–1941</t>
  </si>
  <si>
    <t>1943-</t>
  </si>
  <si>
    <t>1938–63</t>
  </si>
  <si>
    <r>
      <t xml:space="preserve">3 × 2 - QF 4.7-inch (120 mm) Mk XII guns
</t>
    </r>
    <r>
      <rPr>
        <sz val="8"/>
        <color rgb="FFFF0000"/>
        <rFont val="Calibri"/>
        <family val="2"/>
        <charset val="238"/>
      </rPr>
      <t>1 × 2 - QF 4-inch (102 mm) Mk. XVI dual-purpose guns</t>
    </r>
    <r>
      <rPr>
        <sz val="8"/>
        <color rgb="FF000000"/>
        <rFont val="Calibri"/>
        <family val="2"/>
        <charset val="238"/>
      </rPr>
      <t xml:space="preserve">
</t>
    </r>
    <r>
      <rPr>
        <sz val="8"/>
        <color rgb="FFFF0000"/>
        <rFont val="Calibri"/>
        <family val="2"/>
        <charset val="238"/>
      </rPr>
      <t>up to 4 × single and twin 20 mm Oerlikon AA guns</t>
    </r>
  </si>
  <si>
    <t>speed km/h</t>
  </si>
  <si>
    <t>S-class su marine(2nd wave)</t>
  </si>
  <si>
    <t xml:space="preserve"> 
6× 21-inch (533 mm) torpedo tubes (bow, 12 Mark VIII torpedoes)
1× 3-inch (76 mm) gun
1× .303-calibre machine gun</t>
  </si>
  <si>
    <t>Ordnance QF 25-pounder</t>
  </si>
  <si>
    <t>type (gold: default unit)</t>
  </si>
  <si>
    <r>
      <t xml:space="preserve">fletcher destroyer </t>
    </r>
    <r>
      <rPr>
        <sz val="11"/>
        <color rgb="FFFF0000"/>
        <rFont val="Calibri"/>
        <family val="2"/>
        <charset val="238"/>
      </rPr>
      <t>!nincs MIDhez kötve!</t>
    </r>
  </si>
  <si>
    <r>
      <t>gato submarine</t>
    </r>
    <r>
      <rPr>
        <sz val="11"/>
        <color rgb="FFFF0000"/>
        <rFont val="Calibri"/>
        <family val="2"/>
        <charset val="238"/>
      </rPr>
      <t xml:space="preserve"> !nincs MIDhez kötve!</t>
    </r>
  </si>
  <si>
    <r>
      <t xml:space="preserve">Elbing-class torpedo boat </t>
    </r>
    <r>
      <rPr>
        <sz val="11"/>
        <color rgb="FFFF0000"/>
        <rFont val="Calibri"/>
        <family val="2"/>
        <charset val="238"/>
      </rPr>
      <t>no MID era checked!</t>
    </r>
  </si>
  <si>
    <t>undefined aircraft carrier (russians had none?)</t>
  </si>
  <si>
    <t>Hawker Hurricane Mk IIC Hurribomber</t>
  </si>
  <si>
    <t>Vickers Wellington</t>
  </si>
  <si>
    <t>Mk 1 "Bishop"</t>
  </si>
  <si>
    <t>SP 17pdr, Valentine, Mk I, Archer</t>
  </si>
  <si>
    <t>shoot range effective (m)</t>
  </si>
  <si>
    <t>Ordnance QF 6-pounder 7 cwt</t>
  </si>
  <si>
    <t>1937–1945</t>
  </si>
  <si>
    <t>QF 3.7-in heavy anti-aircraft gun</t>
  </si>
  <si>
    <t>+1400% on air units</t>
  </si>
  <si>
    <t>Sexton</t>
  </si>
  <si>
    <t>1943–1945</t>
  </si>
  <si>
    <t>Infantry Tank Mark II Matilda</t>
  </si>
  <si>
    <t>Tank, Cruiser, Comet I (A34)</t>
  </si>
  <si>
    <t>Tank, Cruiser, Challenger (A30)</t>
  </si>
  <si>
    <t>1944?</t>
  </si>
  <si>
    <t>Tank, Cruiser, Mk VI, Crusader I</t>
  </si>
  <si>
    <t>Tank, Infantry, Valentine, Mk I</t>
  </si>
  <si>
    <t>Tank, Infantry, Valentine, Mk VIII</t>
  </si>
  <si>
    <t>Ordnance QF 17-pounder</t>
  </si>
  <si>
    <t>1942-</t>
  </si>
  <si>
    <t>4/3</t>
  </si>
  <si>
    <t>5/3</t>
  </si>
  <si>
    <t>I-400-class submarine</t>
  </si>
  <si>
    <t>3 Aichi M6A1 Seiran sea-planes
8 × 533 mm forward torpedo tubes
1 × 14 cm/40 11th Year Type naval gun[2]
3 × 25 mm triple-mounted Type 96 autocannon (9 barrels total)
1 × single-mounted 25 mm Type 96 autocannon</t>
  </si>
  <si>
    <t>main gun</t>
  </si>
  <si>
    <t>ALL uboat torpedoes</t>
  </si>
  <si>
    <t>bonus to set vs. Ships</t>
  </si>
  <si>
    <t>bonus to set vs. Big ships</t>
  </si>
  <si>
    <t>seaplanes</t>
  </si>
  <si>
    <t>bonus to set vs. Buildings, tanks etc.</t>
  </si>
  <si>
    <t>bonus to set vs. MEGA Buildings</t>
  </si>
  <si>
    <t>ships+0% carrier+battl +200%</t>
  </si>
  <si>
    <t>calculated in columns</t>
  </si>
  <si>
    <t>G8N Renzan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</si>
</sst>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\-mmm"/>
  </numFmts>
  <fonts count="16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rgb="FFCE181E"/>
      <name val="Calibri"/>
      <family val="2"/>
      <charset val="238"/>
    </font>
    <font>
      <sz val="8"/>
      <color rgb="FF000000"/>
      <name val="Calibri"/>
      <family val="2"/>
      <charset val="238"/>
    </font>
    <font>
      <sz val="11"/>
      <color rgb="FF3F3F76"/>
      <name val="Calibri"/>
      <family val="2"/>
      <charset val="238"/>
    </font>
    <font>
      <sz val="10"/>
      <color rgb="FF222222"/>
      <name val="Arial"/>
      <family val="2"/>
      <charset val="238"/>
    </font>
    <font>
      <u/>
      <sz val="11"/>
      <color rgb="FF0000FF"/>
      <name val="Calibri"/>
      <family val="2"/>
      <charset val="238"/>
    </font>
    <font>
      <sz val="10"/>
      <color rgb="FF333333"/>
      <name val="Trebuchet MS"/>
      <family val="2"/>
      <charset val="238"/>
    </font>
    <font>
      <sz val="11"/>
      <color rgb="FFFFFFFF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trike/>
      <sz val="11"/>
      <color rgb="FF000000"/>
      <name val="Calibri"/>
      <family val="2"/>
      <charset val="238"/>
    </font>
    <font>
      <sz val="8"/>
      <name val="Calibri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rgb="FFFFCC99"/>
        <bgColor rgb="FFF8CBAD"/>
      </patternFill>
    </fill>
    <fill>
      <patternFill patternType="solid">
        <fgColor rgb="FFBFBFBF"/>
        <bgColor rgb="FFCCC1DA"/>
      </patternFill>
    </fill>
    <fill>
      <patternFill patternType="solid">
        <fgColor rgb="FFA9D18E"/>
        <bgColor rgb="FFC5E0B4"/>
      </patternFill>
    </fill>
    <fill>
      <patternFill patternType="solid">
        <fgColor rgb="FFF8CBAD"/>
        <bgColor rgb="FFFFCC99"/>
      </patternFill>
    </fill>
    <fill>
      <patternFill patternType="solid">
        <fgColor rgb="FFFFF200"/>
        <bgColor rgb="FFFFFF00"/>
      </patternFill>
    </fill>
    <fill>
      <patternFill patternType="solid">
        <fgColor rgb="FF729FCF"/>
        <bgColor rgb="FF7F7F7F"/>
      </patternFill>
    </fill>
    <fill>
      <patternFill patternType="solid">
        <fgColor rgb="FF77BC65"/>
        <bgColor rgb="FF70AD47"/>
      </patternFill>
    </fill>
    <fill>
      <patternFill patternType="solid">
        <fgColor rgb="FFFF0000"/>
        <bgColor rgb="FFCE181E"/>
      </patternFill>
    </fill>
    <fill>
      <patternFill patternType="solid">
        <fgColor rgb="FF92D050"/>
        <bgColor rgb="FF77BC65"/>
      </patternFill>
    </fill>
    <fill>
      <patternFill patternType="solid">
        <fgColor rgb="FFC5E0B4"/>
        <bgColor rgb="FFA9D18E"/>
      </patternFill>
    </fill>
    <fill>
      <patternFill patternType="solid">
        <fgColor rgb="FF70AD47"/>
        <bgColor rgb="FF77BC65"/>
      </patternFill>
    </fill>
    <fill>
      <patternFill patternType="solid">
        <fgColor rgb="FFCCC1DA"/>
        <bgColor rgb="FFBFBFBF"/>
      </patternFill>
    </fill>
    <fill>
      <patternFill patternType="solid">
        <fgColor rgb="FF2F5597"/>
        <bgColor rgb="FF3F3F76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rgb="FFCCC1DA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A9D18E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rgb="FF77BC65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5E0B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 style="thin">
        <color auto="1"/>
      </left>
      <right style="thin">
        <color auto="1"/>
      </right>
      <top style="thin">
        <color rgb="FFB2B2B2"/>
      </top>
      <bottom style="thin">
        <color rgb="FFB2B2B2"/>
      </bottom>
      <diagonal style="thin">
        <color auto="1"/>
      </diagonal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5" fillId="2" borderId="1" applyProtection="0"/>
  </cellStyleXfs>
  <cellXfs count="121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5" borderId="2" xfId="0" applyNumberForma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4" borderId="2" xfId="0" applyFill="1" applyBorder="1"/>
    <xf numFmtId="0" fontId="0" fillId="6" borderId="2" xfId="0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0" fillId="7" borderId="2" xfId="0" applyFill="1" applyBorder="1" applyAlignment="1">
      <alignment vertical="center" wrapText="1"/>
    </xf>
    <xf numFmtId="0" fontId="0" fillId="7" borderId="2" xfId="0" applyFill="1" applyBorder="1"/>
    <xf numFmtId="0" fontId="0" fillId="6" borderId="2" xfId="0" applyFill="1" applyBorder="1"/>
    <xf numFmtId="0" fontId="0" fillId="8" borderId="2" xfId="0" applyFill="1" applyBorder="1"/>
    <xf numFmtId="0" fontId="0" fillId="9" borderId="2" xfId="0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/>
    <xf numFmtId="0" fontId="0" fillId="4" borderId="0" xfId="0" applyFill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164" fontId="0" fillId="5" borderId="2" xfId="0" applyNumberFormat="1" applyFill="1" applyBorder="1" applyAlignment="1">
      <alignment horizontal="center" vertical="center"/>
    </xf>
    <xf numFmtId="1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9" borderId="0" xfId="0" applyFill="1" applyAlignment="1">
      <alignment wrapText="1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0" fontId="0" fillId="10" borderId="2" xfId="0" applyFill="1" applyBorder="1" applyAlignment="1">
      <alignment vertical="center" wrapText="1"/>
    </xf>
    <xf numFmtId="0" fontId="4" fillId="10" borderId="2" xfId="0" applyFont="1" applyFill="1" applyBorder="1" applyAlignment="1">
      <alignment vertical="center" wrapText="1"/>
    </xf>
    <xf numFmtId="164" fontId="5" fillId="2" borderId="1" xfId="2" applyNumberFormat="1" applyAlignment="1">
      <alignment horizontal="center" vertical="center"/>
    </xf>
    <xf numFmtId="0" fontId="0" fillId="11" borderId="0" xfId="0" applyFill="1" applyAlignment="1">
      <alignment horizontal="center" vertical="center"/>
    </xf>
    <xf numFmtId="1" fontId="5" fillId="11" borderId="1" xfId="2" applyNumberFormat="1" applyFill="1" applyAlignment="1">
      <alignment horizontal="center" vertical="center"/>
    </xf>
    <xf numFmtId="0" fontId="5" fillId="2" borderId="1" xfId="2" applyAlignment="1">
      <alignment horizontal="center" vertical="center"/>
    </xf>
    <xf numFmtId="0" fontId="0" fillId="11" borderId="0" xfId="0" applyFill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" fontId="5" fillId="2" borderId="1" xfId="2" applyNumberFormat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1" applyBorder="1"/>
    <xf numFmtId="0" fontId="1" fillId="13" borderId="2" xfId="0" applyFont="1" applyFill="1" applyBorder="1"/>
    <xf numFmtId="0" fontId="1" fillId="13" borderId="2" xfId="0" applyFont="1" applyFill="1" applyBorder="1" applyAlignment="1">
      <alignment horizontal="center" wrapText="1"/>
    </xf>
    <xf numFmtId="0" fontId="1" fillId="13" borderId="2" xfId="0" applyFont="1" applyFill="1" applyBorder="1" applyAlignment="1">
      <alignment wrapText="1"/>
    </xf>
    <xf numFmtId="0" fontId="1" fillId="13" borderId="2" xfId="0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14" borderId="2" xfId="0" applyFont="1" applyFill="1" applyBorder="1" applyAlignment="1">
      <alignment horizontal="left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2" xfId="0" applyFill="1" applyBorder="1" applyAlignment="1">
      <alignment horizontal="center" vertical="center"/>
    </xf>
    <xf numFmtId="0" fontId="8" fillId="14" borderId="0" xfId="0" applyFont="1" applyFill="1" applyAlignment="1">
      <alignment horizontal="center" vertical="center" wrapText="1"/>
    </xf>
    <xf numFmtId="0" fontId="0" fillId="14" borderId="0" xfId="0" applyFill="1" applyAlignment="1">
      <alignment horizontal="center" vertical="center"/>
    </xf>
    <xf numFmtId="0" fontId="0" fillId="14" borderId="0" xfId="0" applyFill="1"/>
    <xf numFmtId="0" fontId="9" fillId="14" borderId="2" xfId="0" applyFont="1" applyFill="1" applyBorder="1" applyAlignment="1">
      <alignment horizontal="center" vertical="center" wrapText="1"/>
    </xf>
    <xf numFmtId="0" fontId="5" fillId="14" borderId="1" xfId="2" applyFill="1" applyAlignment="1">
      <alignment horizontal="center" vertical="center"/>
    </xf>
    <xf numFmtId="0" fontId="0" fillId="14" borderId="0" xfId="0" applyFill="1" applyAlignment="1">
      <alignment horizontal="center" vertical="center" wrapText="1"/>
    </xf>
    <xf numFmtId="0" fontId="0" fillId="15" borderId="2" xfId="0" applyFill="1" applyBorder="1" applyAlignment="1">
      <alignment horizontal="center" vertical="center"/>
    </xf>
    <xf numFmtId="0" fontId="8" fillId="15" borderId="0" xfId="0" applyFont="1" applyFill="1" applyAlignment="1">
      <alignment horizontal="center" vertical="center" wrapText="1"/>
    </xf>
    <xf numFmtId="0" fontId="8" fillId="16" borderId="0" xfId="0" applyFont="1" applyFill="1" applyAlignment="1">
      <alignment horizontal="center" vertical="center" wrapText="1"/>
    </xf>
    <xf numFmtId="0" fontId="0" fillId="0" borderId="0" xfId="0" applyBorder="1"/>
    <xf numFmtId="0" fontId="0" fillId="4" borderId="2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vertical="center" wrapText="1"/>
    </xf>
    <xf numFmtId="0" fontId="0" fillId="5" borderId="0" xfId="0" applyFill="1" applyBorder="1" applyAlignment="1">
      <alignment horizontal="center"/>
    </xf>
    <xf numFmtId="1" fontId="0" fillId="5" borderId="0" xfId="0" applyNumberForma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0" fontId="1" fillId="17" borderId="0" xfId="0" applyFont="1" applyFill="1"/>
    <xf numFmtId="0" fontId="0" fillId="0" borderId="2" xfId="0" applyBorder="1" applyAlignment="1">
      <alignment horizontal="left" vertical="center"/>
    </xf>
    <xf numFmtId="0" fontId="1" fillId="18" borderId="2" xfId="0" applyFont="1" applyFill="1" applyBorder="1" applyAlignment="1">
      <alignment horizontal="center" wrapText="1"/>
    </xf>
    <xf numFmtId="0" fontId="0" fillId="19" borderId="2" xfId="0" applyFill="1" applyBorder="1" applyAlignment="1">
      <alignment vertical="center" wrapText="1"/>
    </xf>
    <xf numFmtId="0" fontId="2" fillId="19" borderId="2" xfId="0" applyFont="1" applyFill="1" applyBorder="1" applyAlignment="1">
      <alignment vertical="center" wrapText="1"/>
    </xf>
    <xf numFmtId="0" fontId="0" fillId="19" borderId="0" xfId="0" applyFill="1"/>
    <xf numFmtId="0" fontId="6" fillId="19" borderId="2" xfId="0" applyFont="1" applyFill="1" applyBorder="1" applyAlignment="1">
      <alignment vertical="center" wrapText="1"/>
    </xf>
    <xf numFmtId="0" fontId="7" fillId="19" borderId="2" xfId="1" applyFill="1" applyBorder="1"/>
    <xf numFmtId="0" fontId="0" fillId="19" borderId="2" xfId="0" applyFill="1" applyBorder="1"/>
    <xf numFmtId="0" fontId="1" fillId="18" borderId="2" xfId="0" applyFont="1" applyFill="1" applyBorder="1" applyAlignment="1">
      <alignment horizontal="center" vertical="center" wrapText="1"/>
    </xf>
    <xf numFmtId="0" fontId="0" fillId="19" borderId="2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20" borderId="2" xfId="0" applyFill="1" applyBorder="1" applyAlignment="1">
      <alignment horizontal="center" vertical="center"/>
    </xf>
    <xf numFmtId="164" fontId="0" fillId="20" borderId="2" xfId="0" applyNumberFormat="1" applyFill="1" applyBorder="1" applyAlignment="1">
      <alignment horizontal="center" vertical="center"/>
    </xf>
    <xf numFmtId="0" fontId="14" fillId="0" borderId="2" xfId="0" applyFont="1" applyBorder="1"/>
    <xf numFmtId="0" fontId="0" fillId="0" borderId="2" xfId="0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21" borderId="2" xfId="0" applyFill="1" applyBorder="1" applyAlignment="1">
      <alignment horizontal="center" vertical="center"/>
    </xf>
    <xf numFmtId="0" fontId="0" fillId="22" borderId="2" xfId="0" applyFill="1" applyBorder="1" applyAlignment="1">
      <alignment horizontal="center" vertical="center" wrapText="1"/>
    </xf>
    <xf numFmtId="0" fontId="0" fillId="22" borderId="2" xfId="0" applyFill="1" applyBorder="1" applyAlignment="1">
      <alignment horizontal="center" vertical="center"/>
    </xf>
    <xf numFmtId="0" fontId="0" fillId="22" borderId="2" xfId="0" applyFill="1" applyBorder="1" applyAlignment="1">
      <alignment vertical="center" wrapText="1"/>
    </xf>
    <xf numFmtId="0" fontId="0" fillId="23" borderId="2" xfId="0" applyFill="1" applyBorder="1" applyAlignment="1">
      <alignment horizontal="center" vertical="center"/>
    </xf>
    <xf numFmtId="0" fontId="0" fillId="24" borderId="2" xfId="0" applyFill="1" applyBorder="1" applyAlignment="1">
      <alignment vertical="center" wrapText="1"/>
    </xf>
    <xf numFmtId="0" fontId="0" fillId="24" borderId="2" xfId="0" applyFill="1" applyBorder="1"/>
    <xf numFmtId="0" fontId="0" fillId="25" borderId="2" xfId="0" applyFill="1" applyBorder="1" applyAlignment="1">
      <alignment horizontal="center" vertical="center"/>
    </xf>
    <xf numFmtId="0" fontId="0" fillId="25" borderId="0" xfId="0" applyFill="1" applyAlignment="1">
      <alignment vertical="center" wrapText="1"/>
    </xf>
    <xf numFmtId="0" fontId="0" fillId="0" borderId="0" xfId="0" quotePrefix="1" applyAlignment="1">
      <alignment horizontal="left" vertical="center" wrapText="1"/>
    </xf>
    <xf numFmtId="0" fontId="0" fillId="7" borderId="2" xfId="0" applyFill="1" applyBorder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0" fillId="6" borderId="2" xfId="0" applyFill="1" applyBorder="1" applyAlignment="1">
      <alignment vertical="center"/>
    </xf>
    <xf numFmtId="0" fontId="0" fillId="7" borderId="2" xfId="0" applyFill="1" applyBorder="1" applyAlignment="1">
      <alignment horizontal="center" vertical="center" wrapText="1"/>
    </xf>
    <xf numFmtId="0" fontId="9" fillId="14" borderId="9" xfId="0" applyFont="1" applyFill="1" applyBorder="1" applyAlignment="1">
      <alignment horizontal="left" vertical="center" wrapText="1"/>
    </xf>
    <xf numFmtId="0" fontId="9" fillId="14" borderId="0" xfId="0" applyFont="1" applyFill="1" applyBorder="1" applyAlignment="1">
      <alignment horizontal="left" vertical="center" wrapText="1"/>
    </xf>
    <xf numFmtId="0" fontId="9" fillId="14" borderId="10" xfId="0" applyFont="1" applyFill="1" applyBorder="1" applyAlignment="1">
      <alignment horizontal="left" vertical="center" wrapText="1"/>
    </xf>
    <xf numFmtId="165" fontId="0" fillId="0" borderId="0" xfId="0" quotePrefix="1" applyNumberFormat="1" applyAlignment="1">
      <alignment horizontal="center" vertical="center"/>
    </xf>
    <xf numFmtId="0" fontId="0" fillId="4" borderId="2" xfId="0" applyFill="1" applyBorder="1" applyAlignment="1">
      <alignment horizontal="left" vertical="center" wrapText="1"/>
    </xf>
  </cellXfs>
  <cellStyles count="3">
    <cellStyle name="Hivatkozás" xfId="1" builtinId="8"/>
    <cellStyle name="Magyarázó szöveg" xfId="2" builtinId="53" customBuiltin="1"/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729FCF"/>
      <rgbColor rgb="FF993366"/>
      <rgbColor rgb="FFFFFFCC"/>
      <rgbColor rgb="FFCCFFFF"/>
      <rgbColor rgb="FF660066"/>
      <rgbColor rgb="FFFF8080"/>
      <rgbColor rgb="FF0066CC"/>
      <rgbColor rgb="FFCCC1D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A9D18E"/>
      <rgbColor rgb="FFF8CBAD"/>
      <rgbColor rgb="FFCC99FF"/>
      <rgbColor rgb="FFFFCC99"/>
      <rgbColor rgb="FF3366FF"/>
      <rgbColor rgb="FF77BC65"/>
      <rgbColor rgb="FF92D050"/>
      <rgbColor rgb="FFFFCC00"/>
      <rgbColor rgb="FFFF9900"/>
      <rgbColor rgb="FFFF6600"/>
      <rgbColor rgb="FF2F5597"/>
      <rgbColor rgb="FFB2B2B2"/>
      <rgbColor rgb="FF003366"/>
      <rgbColor rgb="FF70AD47"/>
      <rgbColor rgb="FF003300"/>
      <rgbColor rgb="FF222222"/>
      <rgbColor rgb="FFCE181E"/>
      <rgbColor rgb="FF993366"/>
      <rgbColor rgb="FF3F3F7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militaryfactory.com/armor/self-propelled-guns.asp" TargetMode="External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813A1-8F1D-422A-9421-7BCB44ED2129}">
  <dimension ref="A1:Y44"/>
  <sheetViews>
    <sheetView zoomScaleNormal="100" workbookViewId="0">
      <pane xSplit="2" ySplit="1" topLeftCell="C24" activePane="bottomRight" state="frozen"/>
      <selection pane="topRight" activeCell="C1" sqref="C1"/>
      <selection pane="bottomLeft" activeCell="A14" sqref="A14"/>
      <selection pane="bottomRight" activeCell="C27" sqref="C27"/>
    </sheetView>
  </sheetViews>
  <sheetFormatPr defaultRowHeight="14.4" x14ac:dyDescent="0.3"/>
  <cols>
    <col min="1" max="1" width="9.109375" customWidth="1"/>
    <col min="2" max="2" width="24.44140625" customWidth="1"/>
    <col min="3" max="3" width="11.5546875" style="38" customWidth="1"/>
    <col min="4" max="5" width="11.5546875" customWidth="1"/>
    <col min="6" max="12" width="9.109375" customWidth="1"/>
    <col min="13" max="13" width="11.33203125" customWidth="1"/>
    <col min="14" max="15" width="9.109375" customWidth="1"/>
    <col min="16" max="16" width="9.33203125" customWidth="1"/>
    <col min="17" max="24" width="9.109375" customWidth="1"/>
    <col min="25" max="25" width="49.109375" customWidth="1"/>
    <col min="26" max="1025" width="9.109375" customWidth="1"/>
  </cols>
  <sheetData>
    <row r="1" spans="1:25" s="5" customFormat="1" ht="57.6" x14ac:dyDescent="0.3">
      <c r="A1" s="1"/>
      <c r="B1" s="2"/>
      <c r="C1" s="113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1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1" t="s">
        <v>11</v>
      </c>
      <c r="O1" s="1" t="s">
        <v>12</v>
      </c>
      <c r="P1" s="4" t="s">
        <v>13</v>
      </c>
      <c r="Q1" s="1" t="s">
        <v>14</v>
      </c>
      <c r="R1" s="4" t="s">
        <v>15</v>
      </c>
      <c r="S1" s="1" t="s">
        <v>16</v>
      </c>
      <c r="T1" s="1" t="s">
        <v>17</v>
      </c>
      <c r="U1" s="4" t="s">
        <v>18</v>
      </c>
      <c r="V1" s="1" t="s">
        <v>19</v>
      </c>
      <c r="W1" s="4" t="s">
        <v>20</v>
      </c>
      <c r="X1" s="1" t="s">
        <v>21</v>
      </c>
      <c r="Y1" s="1" t="s">
        <v>22</v>
      </c>
    </row>
    <row r="2" spans="1:25" x14ac:dyDescent="0.3">
      <c r="A2" t="s">
        <v>142</v>
      </c>
    </row>
    <row r="3" spans="1:25" s="5" customFormat="1" x14ac:dyDescent="0.3">
      <c r="A3" s="106" t="s">
        <v>32</v>
      </c>
      <c r="B3" s="107" t="s">
        <v>143</v>
      </c>
      <c r="C3" s="18" t="s">
        <v>70</v>
      </c>
      <c r="D3" s="6">
        <v>20000</v>
      </c>
      <c r="E3" s="6">
        <v>2</v>
      </c>
      <c r="F3" s="6">
        <v>27</v>
      </c>
      <c r="G3" s="6">
        <v>12</v>
      </c>
      <c r="H3" s="6">
        <v>50</v>
      </c>
      <c r="I3" s="6">
        <v>155</v>
      </c>
      <c r="J3" s="6">
        <v>1</v>
      </c>
      <c r="K3" s="6">
        <v>39</v>
      </c>
      <c r="L3" s="6">
        <v>230</v>
      </c>
      <c r="N3" s="11">
        <v>7</v>
      </c>
      <c r="O3" s="11"/>
      <c r="Q3" s="11"/>
      <c r="R3" s="11"/>
      <c r="S3" s="11"/>
      <c r="T3" s="11"/>
      <c r="U3" s="11"/>
      <c r="V3" s="11"/>
      <c r="W3" s="11"/>
      <c r="X3" s="11"/>
      <c r="Y3" s="33"/>
    </row>
    <row r="4" spans="1:25" x14ac:dyDescent="0.3">
      <c r="B4" s="34"/>
      <c r="C4" s="34"/>
    </row>
    <row r="6" spans="1:25" x14ac:dyDescent="0.3">
      <c r="A6" t="s">
        <v>144</v>
      </c>
    </row>
    <row r="7" spans="1:25" s="5" customFormat="1" ht="28.8" x14ac:dyDescent="0.3">
      <c r="A7" s="6" t="s">
        <v>24</v>
      </c>
      <c r="B7" s="23" t="s">
        <v>362</v>
      </c>
      <c r="C7" s="18" t="s">
        <v>36</v>
      </c>
      <c r="D7" s="6">
        <v>15000</v>
      </c>
      <c r="E7" s="6">
        <v>4</v>
      </c>
      <c r="F7" s="6">
        <v>16</v>
      </c>
      <c r="G7" s="6">
        <v>12</v>
      </c>
      <c r="H7" s="6">
        <v>50</v>
      </c>
      <c r="I7" s="6">
        <v>75</v>
      </c>
      <c r="J7" s="6">
        <v>1</v>
      </c>
      <c r="K7" s="6">
        <v>44</v>
      </c>
      <c r="L7" s="8">
        <v>100</v>
      </c>
      <c r="M7" s="35">
        <f t="shared" ref="M7:M23" si="0">D7/3000</f>
        <v>5</v>
      </c>
      <c r="N7" s="11">
        <v>5</v>
      </c>
      <c r="O7" s="11">
        <v>3</v>
      </c>
      <c r="P7" s="36">
        <f t="shared" ref="P7:P23" si="1">5+F7*3/2.4</f>
        <v>25</v>
      </c>
      <c r="Q7" s="13">
        <v>25</v>
      </c>
      <c r="R7" s="35">
        <f t="shared" ref="R7:R23" si="2">H7/15</f>
        <v>3.3333333333333335</v>
      </c>
      <c r="S7" s="11">
        <v>3</v>
      </c>
      <c r="T7" s="11">
        <v>4</v>
      </c>
      <c r="U7" s="37">
        <f t="shared" ref="U7:U23" si="3">(K7-10)/20+L7/100</f>
        <v>2.7</v>
      </c>
      <c r="V7" s="11">
        <v>3</v>
      </c>
      <c r="W7" s="36">
        <f t="shared" ref="W7:W23" si="4">I7/10</f>
        <v>7.5</v>
      </c>
      <c r="X7" s="13">
        <v>15</v>
      </c>
      <c r="Y7" s="15" t="s">
        <v>146</v>
      </c>
    </row>
    <row r="8" spans="1:25" ht="28.8" x14ac:dyDescent="0.3">
      <c r="A8" s="6" t="s">
        <v>65</v>
      </c>
      <c r="B8" s="24" t="s">
        <v>145</v>
      </c>
      <c r="C8" s="18" t="s">
        <v>36</v>
      </c>
      <c r="D8" s="6">
        <v>12000</v>
      </c>
      <c r="E8" s="6">
        <v>5</v>
      </c>
      <c r="F8" s="6">
        <v>30</v>
      </c>
      <c r="G8" s="6">
        <v>10</v>
      </c>
      <c r="H8" s="6">
        <v>45</v>
      </c>
      <c r="I8" s="6">
        <v>122</v>
      </c>
      <c r="J8" s="6">
        <v>1</v>
      </c>
      <c r="K8" s="6">
        <v>55</v>
      </c>
      <c r="L8" s="6">
        <v>280</v>
      </c>
      <c r="M8" s="35">
        <f t="shared" si="0"/>
        <v>4</v>
      </c>
      <c r="N8" s="11">
        <v>4</v>
      </c>
      <c r="O8" s="11">
        <v>5</v>
      </c>
      <c r="P8" s="36">
        <f t="shared" si="1"/>
        <v>42.5</v>
      </c>
      <c r="Q8" s="13">
        <v>80</v>
      </c>
      <c r="R8" s="35">
        <f t="shared" si="2"/>
        <v>3</v>
      </c>
      <c r="S8" s="11">
        <v>3</v>
      </c>
      <c r="T8" s="11">
        <v>3</v>
      </c>
      <c r="U8" s="37">
        <f t="shared" si="3"/>
        <v>5.05</v>
      </c>
      <c r="V8" s="11">
        <v>5</v>
      </c>
      <c r="W8" s="36">
        <f t="shared" si="4"/>
        <v>12.2</v>
      </c>
      <c r="X8" s="13">
        <v>15</v>
      </c>
      <c r="Y8" s="15" t="s">
        <v>146</v>
      </c>
    </row>
    <row r="9" spans="1:25" ht="28.8" x14ac:dyDescent="0.3">
      <c r="A9" s="6" t="s">
        <v>65</v>
      </c>
      <c r="B9" s="24" t="s">
        <v>147</v>
      </c>
      <c r="C9" s="20" t="s">
        <v>148</v>
      </c>
      <c r="D9" s="6">
        <v>17230</v>
      </c>
      <c r="E9" s="6">
        <v>3</v>
      </c>
      <c r="F9" s="6">
        <v>45</v>
      </c>
      <c r="G9" s="6">
        <v>20</v>
      </c>
      <c r="H9" s="6">
        <v>75</v>
      </c>
      <c r="I9" s="6">
        <v>152</v>
      </c>
      <c r="J9" s="6">
        <v>1</v>
      </c>
      <c r="K9" s="6">
        <v>43</v>
      </c>
      <c r="L9" s="6">
        <v>240</v>
      </c>
      <c r="M9" s="35">
        <f t="shared" si="0"/>
        <v>5.7433333333333332</v>
      </c>
      <c r="N9" s="11">
        <v>6</v>
      </c>
      <c r="O9" s="11">
        <v>6</v>
      </c>
      <c r="P9" s="36">
        <f t="shared" si="1"/>
        <v>61.25</v>
      </c>
      <c r="Q9" s="13">
        <v>80</v>
      </c>
      <c r="R9" s="35">
        <f t="shared" si="2"/>
        <v>5</v>
      </c>
      <c r="S9" s="11">
        <v>5</v>
      </c>
      <c r="T9" s="11">
        <v>5</v>
      </c>
      <c r="U9" s="37">
        <f t="shared" si="3"/>
        <v>4.05</v>
      </c>
      <c r="V9" s="11">
        <v>4</v>
      </c>
      <c r="W9" s="36">
        <f t="shared" si="4"/>
        <v>15.2</v>
      </c>
      <c r="X9" s="13">
        <v>15</v>
      </c>
      <c r="Y9" s="15" t="s">
        <v>146</v>
      </c>
    </row>
    <row r="10" spans="1:25" ht="86.4" x14ac:dyDescent="0.3">
      <c r="A10" s="6" t="s">
        <v>65</v>
      </c>
      <c r="B10" s="7" t="s">
        <v>149</v>
      </c>
      <c r="C10" s="18" t="s">
        <v>122</v>
      </c>
      <c r="D10" s="6">
        <v>12400</v>
      </c>
      <c r="E10" s="6">
        <v>2</v>
      </c>
      <c r="F10" s="6">
        <v>52</v>
      </c>
      <c r="G10" s="6">
        <v>60</v>
      </c>
      <c r="H10" s="6">
        <v>110</v>
      </c>
      <c r="I10" s="6">
        <v>152</v>
      </c>
      <c r="J10" s="6">
        <v>1</v>
      </c>
      <c r="K10" s="6">
        <v>28</v>
      </c>
      <c r="L10" s="6">
        <v>140</v>
      </c>
      <c r="M10" s="35">
        <f t="shared" si="0"/>
        <v>4.1333333333333337</v>
      </c>
      <c r="N10" s="11">
        <v>4</v>
      </c>
      <c r="O10" s="11">
        <v>6</v>
      </c>
      <c r="P10" s="36">
        <f t="shared" si="1"/>
        <v>70</v>
      </c>
      <c r="Q10" s="13">
        <v>80</v>
      </c>
      <c r="R10" s="35">
        <f t="shared" si="2"/>
        <v>7.333333333333333</v>
      </c>
      <c r="S10" s="11">
        <v>7</v>
      </c>
      <c r="T10" s="11">
        <v>7</v>
      </c>
      <c r="U10" s="37">
        <f t="shared" si="3"/>
        <v>2.2999999999999998</v>
      </c>
      <c r="V10" s="11">
        <v>3</v>
      </c>
      <c r="W10" s="36">
        <f t="shared" si="4"/>
        <v>15.2</v>
      </c>
      <c r="X10" s="13">
        <v>15</v>
      </c>
      <c r="Y10" s="15" t="s">
        <v>150</v>
      </c>
    </row>
    <row r="11" spans="1:25" s="5" customFormat="1" ht="28.8" x14ac:dyDescent="0.3">
      <c r="A11" s="6" t="s">
        <v>44</v>
      </c>
      <c r="B11" s="23" t="s">
        <v>151</v>
      </c>
      <c r="C11" s="114">
        <v>1940</v>
      </c>
      <c r="D11" s="6">
        <v>4700</v>
      </c>
      <c r="E11" s="6">
        <v>2</v>
      </c>
      <c r="F11" s="6">
        <v>8.5</v>
      </c>
      <c r="G11" s="6">
        <v>5</v>
      </c>
      <c r="H11" s="6">
        <v>15</v>
      </c>
      <c r="I11" s="6">
        <v>150</v>
      </c>
      <c r="J11" s="6">
        <v>1</v>
      </c>
      <c r="K11" s="6">
        <v>40</v>
      </c>
      <c r="L11" s="8">
        <v>140</v>
      </c>
      <c r="M11" s="35">
        <f t="shared" si="0"/>
        <v>1.5666666666666667</v>
      </c>
      <c r="N11" s="11">
        <v>2</v>
      </c>
      <c r="O11" s="11">
        <v>3</v>
      </c>
      <c r="P11" s="36">
        <f t="shared" si="1"/>
        <v>15.625</v>
      </c>
      <c r="Q11" s="13">
        <v>25</v>
      </c>
      <c r="R11" s="35">
        <f t="shared" si="2"/>
        <v>1</v>
      </c>
      <c r="S11" s="11">
        <v>1</v>
      </c>
      <c r="T11" s="11">
        <v>1</v>
      </c>
      <c r="U11" s="37">
        <f t="shared" si="3"/>
        <v>2.9</v>
      </c>
      <c r="V11" s="11">
        <v>3</v>
      </c>
      <c r="W11" s="36">
        <f t="shared" si="4"/>
        <v>15</v>
      </c>
      <c r="X11" s="13">
        <v>15</v>
      </c>
      <c r="Y11" s="15" t="s">
        <v>146</v>
      </c>
    </row>
    <row r="12" spans="1:25" s="5" customFormat="1" ht="28.8" x14ac:dyDescent="0.3">
      <c r="A12" s="6" t="s">
        <v>44</v>
      </c>
      <c r="B12" s="23" t="s">
        <v>152</v>
      </c>
      <c r="C12" s="114">
        <v>1941</v>
      </c>
      <c r="D12" s="6">
        <v>4700</v>
      </c>
      <c r="E12" s="6">
        <v>2</v>
      </c>
      <c r="F12" s="6">
        <v>11</v>
      </c>
      <c r="G12" s="6">
        <v>5</v>
      </c>
      <c r="H12" s="6">
        <v>30</v>
      </c>
      <c r="I12" s="6">
        <v>150</v>
      </c>
      <c r="J12" s="6">
        <v>1</v>
      </c>
      <c r="K12" s="6">
        <v>40</v>
      </c>
      <c r="L12" s="8">
        <v>190</v>
      </c>
      <c r="M12" s="35">
        <f t="shared" si="0"/>
        <v>1.5666666666666667</v>
      </c>
      <c r="N12" s="11">
        <v>2</v>
      </c>
      <c r="O12" s="11">
        <v>4</v>
      </c>
      <c r="P12" s="36">
        <f t="shared" si="1"/>
        <v>18.75</v>
      </c>
      <c r="Q12" s="13">
        <v>25</v>
      </c>
      <c r="R12" s="35">
        <f t="shared" si="2"/>
        <v>2</v>
      </c>
      <c r="S12" s="11">
        <v>2</v>
      </c>
      <c r="T12" s="11">
        <v>2</v>
      </c>
      <c r="U12" s="37">
        <f t="shared" si="3"/>
        <v>3.4</v>
      </c>
      <c r="V12" s="11">
        <v>4</v>
      </c>
      <c r="W12" s="36">
        <f t="shared" si="4"/>
        <v>15</v>
      </c>
      <c r="X12" s="13">
        <v>15</v>
      </c>
      <c r="Y12" s="15" t="s">
        <v>146</v>
      </c>
    </row>
    <row r="13" spans="1:25" s="5" customFormat="1" ht="28.8" x14ac:dyDescent="0.3">
      <c r="A13" s="6" t="s">
        <v>44</v>
      </c>
      <c r="B13" s="23" t="s">
        <v>153</v>
      </c>
      <c r="C13" s="112" t="s">
        <v>84</v>
      </c>
      <c r="D13" s="6">
        <v>4700</v>
      </c>
      <c r="E13" s="6">
        <v>2</v>
      </c>
      <c r="F13" s="6">
        <v>11</v>
      </c>
      <c r="G13" s="6">
        <v>10</v>
      </c>
      <c r="H13" s="6">
        <v>15</v>
      </c>
      <c r="I13" s="6">
        <v>150</v>
      </c>
      <c r="J13" s="6">
        <v>1</v>
      </c>
      <c r="K13" s="6">
        <v>35</v>
      </c>
      <c r="L13" s="8">
        <v>190</v>
      </c>
      <c r="M13" s="35">
        <f t="shared" si="0"/>
        <v>1.5666666666666667</v>
      </c>
      <c r="N13" s="11">
        <v>2</v>
      </c>
      <c r="O13" s="11">
        <v>3</v>
      </c>
      <c r="P13" s="36">
        <f t="shared" si="1"/>
        <v>18.75</v>
      </c>
      <c r="Q13" s="13">
        <v>25</v>
      </c>
      <c r="R13" s="35">
        <f t="shared" si="2"/>
        <v>1</v>
      </c>
      <c r="S13" s="11">
        <v>1</v>
      </c>
      <c r="T13" s="11">
        <v>1</v>
      </c>
      <c r="U13" s="37">
        <f t="shared" si="3"/>
        <v>3.15</v>
      </c>
      <c r="V13" s="11">
        <v>3</v>
      </c>
      <c r="W13" s="36">
        <f t="shared" si="4"/>
        <v>15</v>
      </c>
      <c r="X13" s="13">
        <v>15</v>
      </c>
      <c r="Y13" s="15" t="s">
        <v>146</v>
      </c>
    </row>
    <row r="14" spans="1:25" s="5" customFormat="1" ht="28.8" x14ac:dyDescent="0.3">
      <c r="A14" s="6" t="s">
        <v>44</v>
      </c>
      <c r="B14" s="23" t="s">
        <v>154</v>
      </c>
      <c r="C14" s="112" t="s">
        <v>84</v>
      </c>
      <c r="D14" s="6">
        <v>11000</v>
      </c>
      <c r="E14" s="6">
        <v>1</v>
      </c>
      <c r="F14" s="6">
        <v>11</v>
      </c>
      <c r="G14" s="6">
        <v>5</v>
      </c>
      <c r="H14" s="6">
        <v>30</v>
      </c>
      <c r="I14" s="6">
        <v>105</v>
      </c>
      <c r="J14" s="6">
        <v>1</v>
      </c>
      <c r="K14" s="6">
        <v>40</v>
      </c>
      <c r="L14" s="8">
        <v>220</v>
      </c>
      <c r="M14" s="35">
        <f t="shared" si="0"/>
        <v>3.6666666666666665</v>
      </c>
      <c r="N14" s="11">
        <v>4</v>
      </c>
      <c r="O14" s="11">
        <v>3</v>
      </c>
      <c r="P14" s="36">
        <f t="shared" si="1"/>
        <v>18.75</v>
      </c>
      <c r="Q14" s="13">
        <v>25</v>
      </c>
      <c r="R14" s="35">
        <f t="shared" si="2"/>
        <v>2</v>
      </c>
      <c r="S14" s="11">
        <v>2</v>
      </c>
      <c r="T14" s="11">
        <v>2</v>
      </c>
      <c r="U14" s="37">
        <f t="shared" si="3"/>
        <v>3.7</v>
      </c>
      <c r="V14" s="11">
        <v>4</v>
      </c>
      <c r="W14" s="36">
        <f t="shared" si="4"/>
        <v>10.5</v>
      </c>
      <c r="X14" s="13">
        <v>15</v>
      </c>
      <c r="Y14" s="15" t="s">
        <v>146</v>
      </c>
    </row>
    <row r="15" spans="1:25" s="5" customFormat="1" ht="28.8" x14ac:dyDescent="0.3">
      <c r="A15" s="6" t="s">
        <v>44</v>
      </c>
      <c r="B15" s="23" t="s">
        <v>155</v>
      </c>
      <c r="C15" s="114" t="s">
        <v>57</v>
      </c>
      <c r="D15" s="6">
        <v>11000</v>
      </c>
      <c r="E15" s="6">
        <v>4</v>
      </c>
      <c r="F15" s="6">
        <v>24</v>
      </c>
      <c r="G15" s="6">
        <v>16</v>
      </c>
      <c r="H15" s="6">
        <v>50</v>
      </c>
      <c r="I15" s="6">
        <v>105</v>
      </c>
      <c r="J15" s="6">
        <v>1</v>
      </c>
      <c r="K15" s="6">
        <v>40</v>
      </c>
      <c r="L15" s="8">
        <v>155</v>
      </c>
      <c r="M15" s="35">
        <f t="shared" si="0"/>
        <v>3.6666666666666665</v>
      </c>
      <c r="N15" s="11">
        <v>4</v>
      </c>
      <c r="O15" s="11">
        <v>3</v>
      </c>
      <c r="P15" s="36">
        <f t="shared" si="1"/>
        <v>35</v>
      </c>
      <c r="Q15" s="13">
        <v>25</v>
      </c>
      <c r="R15" s="35">
        <f t="shared" si="2"/>
        <v>3.3333333333333335</v>
      </c>
      <c r="S15" s="11">
        <v>3</v>
      </c>
      <c r="T15" s="11">
        <v>3</v>
      </c>
      <c r="U15" s="37">
        <f t="shared" si="3"/>
        <v>3.05</v>
      </c>
      <c r="V15" s="11">
        <v>3</v>
      </c>
      <c r="W15" s="36">
        <f t="shared" si="4"/>
        <v>10.5</v>
      </c>
      <c r="X15" s="13">
        <v>15</v>
      </c>
      <c r="Y15" s="15" t="s">
        <v>146</v>
      </c>
    </row>
    <row r="16" spans="1:25" ht="86.4" x14ac:dyDescent="0.3">
      <c r="A16" s="106" t="s">
        <v>44</v>
      </c>
      <c r="B16" s="107" t="s">
        <v>156</v>
      </c>
      <c r="C16" s="20" t="s">
        <v>59</v>
      </c>
      <c r="D16" s="6">
        <v>13000</v>
      </c>
      <c r="E16" s="6">
        <v>2</v>
      </c>
      <c r="F16" s="6">
        <v>24</v>
      </c>
      <c r="G16" s="6">
        <v>10</v>
      </c>
      <c r="H16" s="6">
        <v>30</v>
      </c>
      <c r="I16" s="6">
        <v>150</v>
      </c>
      <c r="J16" s="6">
        <v>1</v>
      </c>
      <c r="K16" s="6">
        <v>42</v>
      </c>
      <c r="L16" s="6">
        <v>215</v>
      </c>
      <c r="M16" s="35">
        <f t="shared" si="0"/>
        <v>4.333333333333333</v>
      </c>
      <c r="N16" s="11">
        <v>5</v>
      </c>
      <c r="O16" s="11">
        <v>5</v>
      </c>
      <c r="P16" s="36">
        <f t="shared" si="1"/>
        <v>35</v>
      </c>
      <c r="Q16" s="13">
        <v>25</v>
      </c>
      <c r="R16" s="35">
        <f t="shared" si="2"/>
        <v>2</v>
      </c>
      <c r="S16" s="11">
        <v>2</v>
      </c>
      <c r="T16" s="11">
        <v>2</v>
      </c>
      <c r="U16" s="37">
        <f t="shared" si="3"/>
        <v>3.75</v>
      </c>
      <c r="V16" s="11">
        <v>4</v>
      </c>
      <c r="W16" s="36">
        <f t="shared" si="4"/>
        <v>15</v>
      </c>
      <c r="X16" s="13">
        <v>15</v>
      </c>
      <c r="Y16" s="15" t="s">
        <v>150</v>
      </c>
    </row>
    <row r="17" spans="1:25" s="5" customFormat="1" ht="28.8" x14ac:dyDescent="0.3">
      <c r="A17" s="6" t="s">
        <v>44</v>
      </c>
      <c r="B17" s="23" t="s">
        <v>157</v>
      </c>
      <c r="C17" s="112" t="s">
        <v>59</v>
      </c>
      <c r="D17" s="6">
        <v>8000</v>
      </c>
      <c r="E17" s="6">
        <v>1</v>
      </c>
      <c r="F17" s="6">
        <v>28.2</v>
      </c>
      <c r="G17" s="6">
        <v>50</v>
      </c>
      <c r="H17" s="6">
        <v>100</v>
      </c>
      <c r="I17" s="6">
        <v>150</v>
      </c>
      <c r="J17" s="6">
        <v>1</v>
      </c>
      <c r="K17" s="6">
        <v>40</v>
      </c>
      <c r="L17" s="8">
        <v>210</v>
      </c>
      <c r="M17" s="35">
        <f t="shared" si="0"/>
        <v>2.6666666666666665</v>
      </c>
      <c r="N17" s="11">
        <v>3</v>
      </c>
      <c r="O17" s="11">
        <v>3</v>
      </c>
      <c r="P17" s="36">
        <f t="shared" si="1"/>
        <v>40.25</v>
      </c>
      <c r="Q17" s="13">
        <v>25</v>
      </c>
      <c r="R17" s="35">
        <f t="shared" si="2"/>
        <v>6.666666666666667</v>
      </c>
      <c r="S17" s="11">
        <v>7</v>
      </c>
      <c r="T17" s="11">
        <v>7</v>
      </c>
      <c r="U17" s="37">
        <f t="shared" si="3"/>
        <v>3.6</v>
      </c>
      <c r="V17" s="11">
        <v>4</v>
      </c>
      <c r="W17" s="36">
        <f t="shared" si="4"/>
        <v>15</v>
      </c>
      <c r="X17" s="13">
        <v>15</v>
      </c>
      <c r="Y17" s="15" t="s">
        <v>146</v>
      </c>
    </row>
    <row r="18" spans="1:25" ht="43.2" x14ac:dyDescent="0.3">
      <c r="A18" s="6" t="s">
        <v>44</v>
      </c>
      <c r="B18" s="7" t="s">
        <v>158</v>
      </c>
      <c r="C18" s="20" t="s">
        <v>59</v>
      </c>
      <c r="D18" s="6">
        <v>8000</v>
      </c>
      <c r="E18" s="6">
        <v>2</v>
      </c>
      <c r="F18" s="6">
        <v>68</v>
      </c>
      <c r="G18" s="6">
        <v>62</v>
      </c>
      <c r="H18" s="6">
        <v>150</v>
      </c>
      <c r="I18" s="6">
        <v>380</v>
      </c>
      <c r="J18" s="6">
        <v>1</v>
      </c>
      <c r="K18" s="6">
        <v>40</v>
      </c>
      <c r="L18" s="6">
        <v>120</v>
      </c>
      <c r="M18" s="35">
        <f t="shared" si="0"/>
        <v>2.6666666666666665</v>
      </c>
      <c r="N18" s="11">
        <v>3</v>
      </c>
      <c r="O18" s="11">
        <v>7</v>
      </c>
      <c r="P18" s="36">
        <f t="shared" si="1"/>
        <v>90</v>
      </c>
      <c r="Q18" s="13">
        <v>25</v>
      </c>
      <c r="R18" s="35">
        <f t="shared" si="2"/>
        <v>10</v>
      </c>
      <c r="S18" s="11">
        <v>10</v>
      </c>
      <c r="T18" s="11">
        <v>10</v>
      </c>
      <c r="U18" s="37">
        <f t="shared" si="3"/>
        <v>2.7</v>
      </c>
      <c r="V18" s="11">
        <v>3</v>
      </c>
      <c r="W18" s="36">
        <f t="shared" si="4"/>
        <v>38</v>
      </c>
      <c r="X18" s="13">
        <v>15</v>
      </c>
      <c r="Y18" s="15" t="s">
        <v>159</v>
      </c>
    </row>
    <row r="19" spans="1:25" ht="86.4" x14ac:dyDescent="0.3">
      <c r="A19" s="6" t="s">
        <v>32</v>
      </c>
      <c r="B19" s="31" t="s">
        <v>160</v>
      </c>
      <c r="C19" s="31"/>
      <c r="D19" s="6">
        <v>11000</v>
      </c>
      <c r="E19" s="6">
        <v>4</v>
      </c>
      <c r="F19" s="6">
        <v>10</v>
      </c>
      <c r="G19" s="6">
        <v>6</v>
      </c>
      <c r="H19" s="6">
        <v>13</v>
      </c>
      <c r="I19" s="6">
        <v>105</v>
      </c>
      <c r="J19" s="6">
        <v>1</v>
      </c>
      <c r="K19" s="6">
        <v>72</v>
      </c>
      <c r="L19" s="6">
        <v>320</v>
      </c>
      <c r="M19" s="35">
        <f t="shared" si="0"/>
        <v>3.6666666666666665</v>
      </c>
      <c r="N19" s="11">
        <v>4</v>
      </c>
      <c r="O19" s="11">
        <v>4</v>
      </c>
      <c r="P19" s="36">
        <f t="shared" si="1"/>
        <v>17.5</v>
      </c>
      <c r="Q19" s="13">
        <v>20</v>
      </c>
      <c r="R19" s="35">
        <f t="shared" si="2"/>
        <v>0.8666666666666667</v>
      </c>
      <c r="S19" s="11">
        <v>1</v>
      </c>
      <c r="T19" s="11">
        <v>1</v>
      </c>
      <c r="U19" s="37">
        <f t="shared" si="3"/>
        <v>6.3000000000000007</v>
      </c>
      <c r="V19" s="11">
        <v>5</v>
      </c>
      <c r="W19" s="36">
        <f t="shared" si="4"/>
        <v>10.5</v>
      </c>
      <c r="X19" s="13">
        <v>10</v>
      </c>
      <c r="Y19" s="15" t="s">
        <v>161</v>
      </c>
    </row>
    <row r="20" spans="1:25" ht="86.4" x14ac:dyDescent="0.3">
      <c r="A20" s="106" t="s">
        <v>32</v>
      </c>
      <c r="B20" s="107" t="s">
        <v>162</v>
      </c>
      <c r="C20" s="18" t="s">
        <v>57</v>
      </c>
      <c r="D20" s="6">
        <v>11000</v>
      </c>
      <c r="E20" s="6">
        <v>3</v>
      </c>
      <c r="F20" s="6">
        <v>23</v>
      </c>
      <c r="G20" s="6">
        <v>12</v>
      </c>
      <c r="H20" s="6">
        <v>30</v>
      </c>
      <c r="I20" s="6">
        <v>105</v>
      </c>
      <c r="J20" s="6">
        <v>1</v>
      </c>
      <c r="K20" s="6">
        <v>39</v>
      </c>
      <c r="L20" s="6">
        <v>190</v>
      </c>
      <c r="M20" s="35">
        <f t="shared" si="0"/>
        <v>3.6666666666666665</v>
      </c>
      <c r="N20" s="11">
        <v>4</v>
      </c>
      <c r="O20" s="11">
        <v>4</v>
      </c>
      <c r="P20" s="36">
        <f t="shared" si="1"/>
        <v>33.75</v>
      </c>
      <c r="Q20" s="13">
        <v>25</v>
      </c>
      <c r="R20" s="35">
        <f t="shared" si="2"/>
        <v>2</v>
      </c>
      <c r="S20" s="11">
        <v>2</v>
      </c>
      <c r="T20" s="11">
        <v>2</v>
      </c>
      <c r="U20" s="37">
        <f t="shared" si="3"/>
        <v>3.3499999999999996</v>
      </c>
      <c r="V20" s="11">
        <v>4</v>
      </c>
      <c r="W20" s="36">
        <f t="shared" si="4"/>
        <v>10.5</v>
      </c>
      <c r="X20" s="13">
        <v>10</v>
      </c>
      <c r="Y20" s="15" t="s">
        <v>161</v>
      </c>
    </row>
    <row r="21" spans="1:25" ht="86.4" x14ac:dyDescent="0.3">
      <c r="A21" s="106" t="s">
        <v>27</v>
      </c>
      <c r="B21" s="107" t="s">
        <v>447</v>
      </c>
      <c r="C21" s="18" t="s">
        <v>70</v>
      </c>
      <c r="D21" s="6">
        <v>12200</v>
      </c>
      <c r="E21" s="6">
        <v>6</v>
      </c>
      <c r="F21" s="6">
        <v>17.5</v>
      </c>
      <c r="G21" s="6">
        <v>8</v>
      </c>
      <c r="H21" s="6">
        <v>60</v>
      </c>
      <c r="I21" s="6">
        <v>87.6</v>
      </c>
      <c r="J21" s="6">
        <v>1</v>
      </c>
      <c r="K21" s="6">
        <v>24</v>
      </c>
      <c r="L21" s="6">
        <v>145</v>
      </c>
      <c r="M21" s="35">
        <f t="shared" ref="M21" si="5">D21/3000</f>
        <v>4.0666666666666664</v>
      </c>
      <c r="N21" s="11">
        <v>4</v>
      </c>
      <c r="O21" s="11">
        <v>4</v>
      </c>
      <c r="P21" s="36">
        <f t="shared" ref="P21" si="6">5+F21*3/2.4</f>
        <v>26.875</v>
      </c>
      <c r="Q21" s="13">
        <v>25</v>
      </c>
      <c r="R21" s="35">
        <f t="shared" ref="R21" si="7">H21/15</f>
        <v>4</v>
      </c>
      <c r="S21" s="11">
        <v>4</v>
      </c>
      <c r="T21" s="11">
        <v>4</v>
      </c>
      <c r="U21" s="37">
        <f t="shared" ref="U21" si="8">(K21-10)/20+L21/100</f>
        <v>2.15</v>
      </c>
      <c r="V21" s="11">
        <v>3</v>
      </c>
      <c r="W21" s="36">
        <f t="shared" ref="W21" si="9">I21/10</f>
        <v>8.76</v>
      </c>
      <c r="X21" s="13">
        <v>10</v>
      </c>
      <c r="Y21" s="15" t="s">
        <v>161</v>
      </c>
    </row>
    <row r="22" spans="1:25" ht="86.4" x14ac:dyDescent="0.3">
      <c r="A22" s="6" t="s">
        <v>27</v>
      </c>
      <c r="B22" s="23" t="s">
        <v>454</v>
      </c>
      <c r="C22" s="112" t="s">
        <v>455</v>
      </c>
      <c r="D22" s="6">
        <v>12200</v>
      </c>
      <c r="E22" s="6">
        <v>6</v>
      </c>
      <c r="F22" s="6">
        <v>25</v>
      </c>
      <c r="G22" s="6">
        <v>15</v>
      </c>
      <c r="H22" s="6">
        <v>32</v>
      </c>
      <c r="I22" s="6">
        <v>87.6</v>
      </c>
      <c r="J22" s="6">
        <v>1</v>
      </c>
      <c r="K22" s="6">
        <v>40</v>
      </c>
      <c r="L22" s="6">
        <v>200</v>
      </c>
      <c r="M22" s="35">
        <f t="shared" ref="M22" si="10">D22/3000</f>
        <v>4.0666666666666664</v>
      </c>
      <c r="N22" s="11">
        <v>4</v>
      </c>
      <c r="O22" s="11">
        <v>4</v>
      </c>
      <c r="P22" s="36">
        <f t="shared" ref="P22" si="11">5+F22*3/2.4</f>
        <v>36.25</v>
      </c>
      <c r="Q22" s="13">
        <v>25</v>
      </c>
      <c r="R22" s="35">
        <f t="shared" ref="R22" si="12">H22/15</f>
        <v>2.1333333333333333</v>
      </c>
      <c r="S22" s="11">
        <v>2</v>
      </c>
      <c r="T22" s="11">
        <v>2</v>
      </c>
      <c r="U22" s="37">
        <f t="shared" ref="U22" si="13">(K22-10)/20+L22/100</f>
        <v>3.5</v>
      </c>
      <c r="V22" s="11">
        <v>4</v>
      </c>
      <c r="W22" s="36">
        <f t="shared" ref="W22" si="14">I22/10</f>
        <v>8.76</v>
      </c>
      <c r="X22" s="13">
        <v>10</v>
      </c>
      <c r="Y22" s="15" t="s">
        <v>161</v>
      </c>
    </row>
    <row r="23" spans="1:25" ht="72" x14ac:dyDescent="0.3">
      <c r="A23" s="6" t="s">
        <v>32</v>
      </c>
      <c r="B23" s="31" t="s">
        <v>163</v>
      </c>
      <c r="C23" s="31"/>
      <c r="D23" s="6">
        <v>9600</v>
      </c>
      <c r="E23" s="6">
        <v>2</v>
      </c>
      <c r="F23" s="6">
        <v>15</v>
      </c>
      <c r="G23" s="6">
        <v>10</v>
      </c>
      <c r="H23" s="6">
        <v>44</v>
      </c>
      <c r="I23" s="6">
        <v>75</v>
      </c>
      <c r="J23" s="6">
        <v>1</v>
      </c>
      <c r="K23" s="6">
        <v>58</v>
      </c>
      <c r="L23" s="6">
        <v>160</v>
      </c>
      <c r="M23" s="35">
        <f t="shared" si="0"/>
        <v>3.2</v>
      </c>
      <c r="N23" s="11">
        <v>4</v>
      </c>
      <c r="O23" s="11">
        <v>3</v>
      </c>
      <c r="P23" s="36">
        <f t="shared" si="1"/>
        <v>23.75</v>
      </c>
      <c r="Q23" s="13">
        <v>25</v>
      </c>
      <c r="R23" s="35">
        <f t="shared" si="2"/>
        <v>2.9333333333333331</v>
      </c>
      <c r="S23" s="11">
        <v>3</v>
      </c>
      <c r="T23" s="11">
        <v>2</v>
      </c>
      <c r="U23" s="37">
        <f t="shared" si="3"/>
        <v>4</v>
      </c>
      <c r="V23" s="11">
        <v>4</v>
      </c>
      <c r="W23" s="36">
        <f t="shared" si="4"/>
        <v>7.5</v>
      </c>
      <c r="X23" s="13">
        <v>8</v>
      </c>
      <c r="Y23" s="15" t="s">
        <v>164</v>
      </c>
    </row>
    <row r="24" spans="1:25" x14ac:dyDescent="0.3">
      <c r="A24" s="38"/>
      <c r="B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</row>
    <row r="25" spans="1:25" x14ac:dyDescent="0.3">
      <c r="A25" s="38" t="s">
        <v>165</v>
      </c>
      <c r="B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</row>
    <row r="26" spans="1:25" ht="86.4" x14ac:dyDescent="0.3">
      <c r="A26" s="106" t="s">
        <v>32</v>
      </c>
      <c r="B26" s="107" t="s">
        <v>166</v>
      </c>
      <c r="C26" s="114" t="s">
        <v>167</v>
      </c>
      <c r="D26" s="6">
        <v>11000</v>
      </c>
      <c r="E26" s="6">
        <v>3</v>
      </c>
      <c r="F26" s="6">
        <v>3</v>
      </c>
      <c r="G26" s="6">
        <v>0</v>
      </c>
      <c r="H26" s="6">
        <v>0</v>
      </c>
      <c r="I26" s="6">
        <v>105</v>
      </c>
      <c r="J26" s="6">
        <v>1</v>
      </c>
      <c r="K26" s="6">
        <v>0</v>
      </c>
      <c r="L26" s="6">
        <v>190</v>
      </c>
      <c r="M26" s="35">
        <f t="shared" ref="M26:M36" si="15">D26/3000</f>
        <v>3.6666666666666665</v>
      </c>
      <c r="N26" s="11">
        <v>4</v>
      </c>
      <c r="O26" s="11">
        <v>3</v>
      </c>
      <c r="P26" s="36">
        <f t="shared" ref="P26:P36" si="16">5+F26*3/2.4</f>
        <v>8.75</v>
      </c>
      <c r="Q26" s="11">
        <v>12</v>
      </c>
      <c r="R26" s="35">
        <f t="shared" ref="R26:R36" si="17">H26/15</f>
        <v>0</v>
      </c>
      <c r="S26" s="11">
        <v>0</v>
      </c>
      <c r="T26" s="11">
        <v>0</v>
      </c>
      <c r="U26" s="37">
        <f t="shared" ref="U26:U36" si="18">(K26-10)/20+L26/100</f>
        <v>1.4</v>
      </c>
      <c r="V26" s="11">
        <v>1</v>
      </c>
      <c r="W26" s="36">
        <f t="shared" ref="W26:W36" si="19">I26/10</f>
        <v>10.5</v>
      </c>
      <c r="X26" s="13">
        <v>10</v>
      </c>
      <c r="Y26" s="39" t="s">
        <v>168</v>
      </c>
    </row>
    <row r="27" spans="1:25" ht="86.4" x14ac:dyDescent="0.3">
      <c r="A27" s="106" t="s">
        <v>27</v>
      </c>
      <c r="B27" s="107" t="s">
        <v>439</v>
      </c>
      <c r="C27" s="76" t="s">
        <v>291</v>
      </c>
      <c r="D27" s="6">
        <v>12200</v>
      </c>
      <c r="E27" s="6">
        <v>6</v>
      </c>
      <c r="F27" s="6">
        <v>1.6</v>
      </c>
      <c r="G27" s="6">
        <v>0</v>
      </c>
      <c r="H27" s="6">
        <v>0</v>
      </c>
      <c r="I27" s="6">
        <v>87.6</v>
      </c>
      <c r="J27" s="6">
        <v>1</v>
      </c>
      <c r="K27" s="6">
        <v>0</v>
      </c>
      <c r="L27" s="6">
        <v>0</v>
      </c>
      <c r="M27" s="35">
        <f t="shared" si="15"/>
        <v>4.0666666666666664</v>
      </c>
      <c r="N27" s="11">
        <v>4</v>
      </c>
      <c r="O27" s="11">
        <v>2</v>
      </c>
      <c r="P27" s="36">
        <f t="shared" si="16"/>
        <v>7</v>
      </c>
      <c r="Q27" s="11">
        <v>11</v>
      </c>
      <c r="R27" s="35">
        <f t="shared" si="17"/>
        <v>0</v>
      </c>
      <c r="S27" s="11">
        <v>0</v>
      </c>
      <c r="T27" s="11">
        <v>0</v>
      </c>
      <c r="U27" s="37">
        <f t="shared" si="18"/>
        <v>-0.5</v>
      </c>
      <c r="V27" s="11">
        <v>1</v>
      </c>
      <c r="W27" s="36">
        <f t="shared" si="19"/>
        <v>8.76</v>
      </c>
      <c r="X27" s="13">
        <v>10</v>
      </c>
      <c r="Y27" s="39" t="s">
        <v>168</v>
      </c>
    </row>
    <row r="28" spans="1:25" ht="86.4" x14ac:dyDescent="0.3">
      <c r="A28" s="6" t="s">
        <v>32</v>
      </c>
      <c r="B28" s="31" t="s">
        <v>169</v>
      </c>
      <c r="C28" s="31"/>
      <c r="D28" s="6">
        <v>23000</v>
      </c>
      <c r="E28" s="6">
        <v>2</v>
      </c>
      <c r="F28" s="6">
        <v>6</v>
      </c>
      <c r="G28" s="6">
        <v>0</v>
      </c>
      <c r="H28" s="6">
        <v>0</v>
      </c>
      <c r="I28" s="6">
        <v>155</v>
      </c>
      <c r="J28" s="6">
        <v>1</v>
      </c>
      <c r="K28" s="6">
        <v>0</v>
      </c>
      <c r="L28" s="6">
        <v>205</v>
      </c>
      <c r="M28" s="35">
        <f t="shared" si="15"/>
        <v>7.666666666666667</v>
      </c>
      <c r="N28" s="11">
        <v>8</v>
      </c>
      <c r="O28" s="11">
        <v>6</v>
      </c>
      <c r="P28" s="36">
        <f t="shared" si="16"/>
        <v>12.5</v>
      </c>
      <c r="Q28" s="11">
        <v>13</v>
      </c>
      <c r="R28" s="35">
        <f t="shared" si="17"/>
        <v>0</v>
      </c>
      <c r="S28" s="11">
        <v>0</v>
      </c>
      <c r="T28" s="11">
        <v>0</v>
      </c>
      <c r="U28" s="37">
        <f t="shared" si="18"/>
        <v>1.5499999999999998</v>
      </c>
      <c r="V28" s="11">
        <v>1</v>
      </c>
      <c r="W28" s="36">
        <f t="shared" si="19"/>
        <v>15.5</v>
      </c>
      <c r="X28" s="13">
        <v>15</v>
      </c>
      <c r="Y28" s="15" t="s">
        <v>150</v>
      </c>
    </row>
    <row r="29" spans="1:25" ht="86.4" x14ac:dyDescent="0.3">
      <c r="A29" s="6" t="s">
        <v>65</v>
      </c>
      <c r="B29" s="31" t="s">
        <v>170</v>
      </c>
      <c r="C29" s="31"/>
      <c r="D29" s="6">
        <v>18000</v>
      </c>
      <c r="E29" s="6">
        <v>1</v>
      </c>
      <c r="F29" s="6">
        <v>20</v>
      </c>
      <c r="G29" s="6">
        <v>0</v>
      </c>
      <c r="H29" s="6">
        <v>0</v>
      </c>
      <c r="I29" s="6">
        <v>203</v>
      </c>
      <c r="J29" s="6">
        <v>1</v>
      </c>
      <c r="K29" s="6">
        <v>0</v>
      </c>
      <c r="L29" s="6">
        <v>0</v>
      </c>
      <c r="M29" s="35">
        <f t="shared" si="15"/>
        <v>6</v>
      </c>
      <c r="N29" s="11">
        <v>6</v>
      </c>
      <c r="O29" s="11">
        <v>7</v>
      </c>
      <c r="P29" s="36">
        <f t="shared" si="16"/>
        <v>30</v>
      </c>
      <c r="Q29" s="11">
        <v>30</v>
      </c>
      <c r="R29" s="35">
        <f t="shared" si="17"/>
        <v>0</v>
      </c>
      <c r="S29" s="11">
        <v>0</v>
      </c>
      <c r="T29" s="11">
        <v>0</v>
      </c>
      <c r="U29" s="37">
        <f t="shared" si="18"/>
        <v>-0.5</v>
      </c>
      <c r="V29" s="11">
        <v>1</v>
      </c>
      <c r="W29" s="36">
        <f t="shared" si="19"/>
        <v>20.3</v>
      </c>
      <c r="X29" s="13">
        <v>20</v>
      </c>
      <c r="Y29" s="15" t="s">
        <v>171</v>
      </c>
    </row>
    <row r="30" spans="1:25" ht="86.4" x14ac:dyDescent="0.3">
      <c r="A30" s="6" t="s">
        <v>65</v>
      </c>
      <c r="B30" s="31" t="s">
        <v>172</v>
      </c>
      <c r="C30" s="31"/>
      <c r="D30" s="6">
        <v>17200</v>
      </c>
      <c r="E30" s="6">
        <v>4</v>
      </c>
      <c r="F30" s="6">
        <v>8</v>
      </c>
      <c r="G30" s="6">
        <v>0</v>
      </c>
      <c r="H30" s="6">
        <v>0</v>
      </c>
      <c r="I30" s="6">
        <v>152</v>
      </c>
      <c r="J30" s="6">
        <v>1</v>
      </c>
      <c r="K30" s="6">
        <v>0</v>
      </c>
      <c r="L30" s="6">
        <v>0</v>
      </c>
      <c r="M30" s="35">
        <f t="shared" si="15"/>
        <v>5.7333333333333334</v>
      </c>
      <c r="N30" s="11">
        <v>6</v>
      </c>
      <c r="O30" s="11">
        <v>6</v>
      </c>
      <c r="P30" s="36">
        <f t="shared" si="16"/>
        <v>15</v>
      </c>
      <c r="Q30" s="11">
        <v>15</v>
      </c>
      <c r="R30" s="35">
        <f t="shared" si="17"/>
        <v>0</v>
      </c>
      <c r="S30" s="11">
        <v>0</v>
      </c>
      <c r="T30" s="11">
        <v>0</v>
      </c>
      <c r="U30" s="37">
        <f t="shared" si="18"/>
        <v>-0.5</v>
      </c>
      <c r="V30" s="11">
        <v>1</v>
      </c>
      <c r="W30" s="36">
        <f t="shared" si="19"/>
        <v>15.2</v>
      </c>
      <c r="X30" s="13">
        <v>15</v>
      </c>
      <c r="Y30" s="15" t="s">
        <v>150</v>
      </c>
    </row>
    <row r="31" spans="1:25" ht="57.6" x14ac:dyDescent="0.3">
      <c r="A31" s="106" t="s">
        <v>65</v>
      </c>
      <c r="B31" s="107" t="s">
        <v>173</v>
      </c>
      <c r="C31" s="7" t="s">
        <v>174</v>
      </c>
      <c r="D31" s="6">
        <v>11800</v>
      </c>
      <c r="E31" s="6">
        <v>15</v>
      </c>
      <c r="F31" s="6">
        <v>3</v>
      </c>
      <c r="G31" s="6">
        <v>0</v>
      </c>
      <c r="H31" s="6">
        <v>0</v>
      </c>
      <c r="I31" s="6">
        <v>122</v>
      </c>
      <c r="J31" s="6">
        <v>1</v>
      </c>
      <c r="K31" s="6">
        <v>0</v>
      </c>
      <c r="L31" s="6">
        <v>0</v>
      </c>
      <c r="M31" s="35">
        <f t="shared" si="15"/>
        <v>3.9333333333333331</v>
      </c>
      <c r="N31" s="11">
        <v>4</v>
      </c>
      <c r="O31" s="11">
        <v>3</v>
      </c>
      <c r="P31" s="36">
        <f t="shared" si="16"/>
        <v>8.75</v>
      </c>
      <c r="Q31" s="11">
        <v>12</v>
      </c>
      <c r="R31" s="35">
        <f t="shared" si="17"/>
        <v>0</v>
      </c>
      <c r="S31" s="11">
        <v>0</v>
      </c>
      <c r="T31" s="11">
        <v>0</v>
      </c>
      <c r="U31" s="37">
        <f t="shared" si="18"/>
        <v>-0.5</v>
      </c>
      <c r="V31" s="11">
        <v>1</v>
      </c>
      <c r="W31" s="36">
        <f t="shared" si="19"/>
        <v>12.2</v>
      </c>
      <c r="X31" s="13">
        <v>12</v>
      </c>
      <c r="Y31" s="15" t="s">
        <v>175</v>
      </c>
    </row>
    <row r="32" spans="1:25" ht="86.4" x14ac:dyDescent="0.3">
      <c r="A32" s="106" t="s">
        <v>24</v>
      </c>
      <c r="B32" s="107" t="s">
        <v>360</v>
      </c>
      <c r="C32" s="7" t="s">
        <v>361</v>
      </c>
      <c r="D32" s="6">
        <v>15000</v>
      </c>
      <c r="E32" s="6">
        <v>6</v>
      </c>
      <c r="F32" s="6">
        <v>1.4</v>
      </c>
      <c r="G32" s="6">
        <v>0</v>
      </c>
      <c r="H32" s="6">
        <v>0</v>
      </c>
      <c r="I32" s="6">
        <v>75</v>
      </c>
      <c r="J32" s="6">
        <v>1</v>
      </c>
      <c r="K32" s="6">
        <v>0</v>
      </c>
      <c r="L32" s="6">
        <v>0</v>
      </c>
      <c r="M32" s="35">
        <f t="shared" si="15"/>
        <v>5</v>
      </c>
      <c r="N32" s="11">
        <v>5</v>
      </c>
      <c r="O32" s="40">
        <v>2</v>
      </c>
      <c r="P32" s="36">
        <f t="shared" si="16"/>
        <v>6.75</v>
      </c>
      <c r="Q32" s="11">
        <v>11</v>
      </c>
      <c r="R32" s="35">
        <f t="shared" si="17"/>
        <v>0</v>
      </c>
      <c r="S32" s="11">
        <v>0</v>
      </c>
      <c r="T32" s="11">
        <v>0</v>
      </c>
      <c r="U32" s="37">
        <f t="shared" si="18"/>
        <v>-0.5</v>
      </c>
      <c r="V32" s="11">
        <v>1</v>
      </c>
      <c r="W32" s="36">
        <f t="shared" si="19"/>
        <v>7.5</v>
      </c>
      <c r="X32" s="13">
        <v>15</v>
      </c>
      <c r="Y32" s="15" t="s">
        <v>161</v>
      </c>
    </row>
    <row r="33" spans="1:25" ht="86.4" x14ac:dyDescent="0.3">
      <c r="A33" s="6" t="s">
        <v>24</v>
      </c>
      <c r="B33" s="7" t="s">
        <v>358</v>
      </c>
      <c r="C33" s="7" t="s">
        <v>359</v>
      </c>
      <c r="D33" s="6">
        <v>11000</v>
      </c>
      <c r="E33" s="6">
        <v>6</v>
      </c>
      <c r="F33" s="6">
        <v>1.5</v>
      </c>
      <c r="G33" s="6">
        <v>0</v>
      </c>
      <c r="H33" s="6">
        <v>0</v>
      </c>
      <c r="I33" s="6">
        <v>105</v>
      </c>
      <c r="J33" s="6">
        <v>1</v>
      </c>
      <c r="K33" s="6">
        <v>0</v>
      </c>
      <c r="L33" s="6">
        <v>0</v>
      </c>
      <c r="M33" s="35">
        <f t="shared" si="15"/>
        <v>3.6666666666666665</v>
      </c>
      <c r="N33" s="11">
        <v>4</v>
      </c>
      <c r="O33" s="40">
        <v>3</v>
      </c>
      <c r="P33" s="36">
        <f t="shared" si="16"/>
        <v>6.875</v>
      </c>
      <c r="Q33" s="11">
        <v>11</v>
      </c>
      <c r="R33" s="35">
        <f t="shared" si="17"/>
        <v>0</v>
      </c>
      <c r="S33" s="11">
        <v>0</v>
      </c>
      <c r="T33" s="11">
        <v>0</v>
      </c>
      <c r="U33" s="37">
        <f t="shared" si="18"/>
        <v>-0.5</v>
      </c>
      <c r="V33" s="11">
        <v>1</v>
      </c>
      <c r="W33" s="36">
        <f t="shared" si="19"/>
        <v>10.5</v>
      </c>
      <c r="X33" s="13">
        <v>15</v>
      </c>
      <c r="Y33" s="15" t="s">
        <v>161</v>
      </c>
    </row>
    <row r="34" spans="1:25" ht="86.4" x14ac:dyDescent="0.3">
      <c r="A34" s="106" t="s">
        <v>44</v>
      </c>
      <c r="B34" s="107" t="s">
        <v>176</v>
      </c>
      <c r="C34" s="7" t="s">
        <v>177</v>
      </c>
      <c r="D34" s="6">
        <v>11000</v>
      </c>
      <c r="E34" s="6">
        <v>8</v>
      </c>
      <c r="F34" s="6">
        <v>4</v>
      </c>
      <c r="G34" s="6">
        <v>0</v>
      </c>
      <c r="H34" s="6">
        <v>0</v>
      </c>
      <c r="I34" s="6">
        <v>105</v>
      </c>
      <c r="J34" s="6">
        <v>1</v>
      </c>
      <c r="K34" s="6">
        <v>0</v>
      </c>
      <c r="L34" s="6">
        <v>0</v>
      </c>
      <c r="M34" s="35">
        <f t="shared" si="15"/>
        <v>3.6666666666666665</v>
      </c>
      <c r="N34" s="11">
        <v>4</v>
      </c>
      <c r="O34" s="40">
        <v>3</v>
      </c>
      <c r="P34" s="36">
        <f t="shared" si="16"/>
        <v>10</v>
      </c>
      <c r="Q34" s="11">
        <v>13</v>
      </c>
      <c r="R34" s="35">
        <f t="shared" si="17"/>
        <v>0</v>
      </c>
      <c r="S34" s="11">
        <v>0</v>
      </c>
      <c r="T34" s="11">
        <v>0</v>
      </c>
      <c r="U34" s="37">
        <f t="shared" si="18"/>
        <v>-0.5</v>
      </c>
      <c r="V34" s="11">
        <v>1</v>
      </c>
      <c r="W34" s="36">
        <f t="shared" si="19"/>
        <v>10.5</v>
      </c>
      <c r="X34" s="13">
        <v>15</v>
      </c>
      <c r="Y34" s="15" t="s">
        <v>161</v>
      </c>
    </row>
    <row r="35" spans="1:25" ht="86.4" x14ac:dyDescent="0.3">
      <c r="A35" s="6" t="s">
        <v>32</v>
      </c>
      <c r="B35" s="31" t="s">
        <v>178</v>
      </c>
      <c r="C35" s="31"/>
      <c r="D35" s="6">
        <v>23700</v>
      </c>
      <c r="E35" s="6">
        <v>1</v>
      </c>
      <c r="F35" s="6">
        <v>15</v>
      </c>
      <c r="G35" s="6">
        <v>0</v>
      </c>
      <c r="H35" s="6">
        <v>0</v>
      </c>
      <c r="I35" s="6">
        <v>155</v>
      </c>
      <c r="J35" s="6">
        <v>1</v>
      </c>
      <c r="K35" s="6">
        <v>0</v>
      </c>
      <c r="L35" s="6">
        <v>200</v>
      </c>
      <c r="M35" s="35">
        <f t="shared" si="15"/>
        <v>7.9</v>
      </c>
      <c r="N35" s="11">
        <v>8</v>
      </c>
      <c r="O35" s="11">
        <v>6</v>
      </c>
      <c r="P35" s="36">
        <f t="shared" si="16"/>
        <v>23.75</v>
      </c>
      <c r="Q35" s="11">
        <v>24</v>
      </c>
      <c r="R35" s="35">
        <f t="shared" si="17"/>
        <v>0</v>
      </c>
      <c r="S35" s="11">
        <v>0</v>
      </c>
      <c r="T35" s="11">
        <v>0</v>
      </c>
      <c r="U35" s="37">
        <f t="shared" si="18"/>
        <v>1.5</v>
      </c>
      <c r="V35" s="11">
        <v>1</v>
      </c>
      <c r="W35" s="36">
        <f t="shared" si="19"/>
        <v>15.5</v>
      </c>
      <c r="X35" s="13">
        <v>15</v>
      </c>
      <c r="Y35" s="15" t="s">
        <v>150</v>
      </c>
    </row>
    <row r="36" spans="1:25" ht="86.4" x14ac:dyDescent="0.3">
      <c r="A36" s="6" t="s">
        <v>65</v>
      </c>
      <c r="B36" s="31" t="s">
        <v>179</v>
      </c>
      <c r="C36" s="31"/>
      <c r="D36" s="6">
        <v>300000</v>
      </c>
      <c r="E36" s="6">
        <v>1</v>
      </c>
      <c r="F36" s="6">
        <v>15</v>
      </c>
      <c r="G36" s="6">
        <v>0</v>
      </c>
      <c r="H36" s="6">
        <v>0</v>
      </c>
      <c r="I36" s="6">
        <v>155</v>
      </c>
      <c r="J36" s="6">
        <v>1</v>
      </c>
      <c r="K36" s="6">
        <v>0</v>
      </c>
      <c r="L36" s="6">
        <v>200</v>
      </c>
      <c r="M36" s="35">
        <f t="shared" si="15"/>
        <v>100</v>
      </c>
      <c r="N36" s="11">
        <v>8</v>
      </c>
      <c r="O36" s="11">
        <v>6</v>
      </c>
      <c r="P36" s="36">
        <f t="shared" si="16"/>
        <v>23.75</v>
      </c>
      <c r="Q36" s="11">
        <v>24</v>
      </c>
      <c r="R36" s="35">
        <f t="shared" si="17"/>
        <v>0</v>
      </c>
      <c r="S36" s="11">
        <v>0</v>
      </c>
      <c r="T36" s="11">
        <v>0</v>
      </c>
      <c r="U36" s="37">
        <f t="shared" si="18"/>
        <v>1.5</v>
      </c>
      <c r="V36" s="11">
        <v>1</v>
      </c>
      <c r="W36" s="36">
        <f t="shared" si="19"/>
        <v>15.5</v>
      </c>
      <c r="X36" s="13">
        <v>15</v>
      </c>
      <c r="Y36" s="15" t="s">
        <v>150</v>
      </c>
    </row>
    <row r="38" spans="1:25" x14ac:dyDescent="0.3">
      <c r="A38" t="s">
        <v>180</v>
      </c>
    </row>
    <row r="39" spans="1:25" s="5" customFormat="1" x14ac:dyDescent="0.3">
      <c r="A39" s="106" t="s">
        <v>65</v>
      </c>
      <c r="B39" s="108" t="s">
        <v>181</v>
      </c>
      <c r="C39" s="18">
        <v>1941</v>
      </c>
      <c r="D39" s="6">
        <v>6000</v>
      </c>
      <c r="E39" s="6"/>
      <c r="F39" s="6">
        <v>5</v>
      </c>
      <c r="G39" s="6"/>
      <c r="H39" s="6" t="s">
        <v>182</v>
      </c>
      <c r="I39" s="6">
        <v>132</v>
      </c>
      <c r="J39" s="6"/>
      <c r="K39" s="6">
        <v>55</v>
      </c>
      <c r="L39" s="6"/>
      <c r="N39" s="11">
        <v>3</v>
      </c>
      <c r="O39" s="11"/>
      <c r="Q39" s="11"/>
      <c r="R39" s="11"/>
      <c r="S39" s="11"/>
      <c r="T39" s="11"/>
      <c r="U39" s="11"/>
      <c r="V39" s="11"/>
      <c r="W39" s="11"/>
      <c r="X39" s="11"/>
      <c r="Y39" s="33"/>
    </row>
    <row r="40" spans="1:25" s="5" customFormat="1" x14ac:dyDescent="0.3">
      <c r="A40" s="6" t="s">
        <v>32</v>
      </c>
      <c r="B40" s="17" t="s">
        <v>306</v>
      </c>
      <c r="C40" s="20" t="s">
        <v>109</v>
      </c>
      <c r="D40" s="6">
        <v>300</v>
      </c>
      <c r="E40" s="6"/>
      <c r="F40" s="6">
        <v>32</v>
      </c>
      <c r="G40" s="6">
        <v>12</v>
      </c>
      <c r="H40" s="6">
        <v>70</v>
      </c>
      <c r="I40" s="6">
        <v>75</v>
      </c>
      <c r="J40" s="6">
        <v>1</v>
      </c>
      <c r="K40" s="6">
        <v>48</v>
      </c>
      <c r="L40" s="8">
        <v>200</v>
      </c>
      <c r="M40" s="9"/>
      <c r="N40" s="10">
        <v>1</v>
      </c>
      <c r="O40" s="11">
        <v>4</v>
      </c>
      <c r="P40" s="12">
        <f t="shared" ref="P40" si="20">5+F40*3/2.4</f>
        <v>45</v>
      </c>
      <c r="Q40" s="13">
        <v>43</v>
      </c>
      <c r="R40" s="14">
        <f t="shared" ref="R40" si="21">H40/15</f>
        <v>4.666666666666667</v>
      </c>
      <c r="S40" s="11">
        <v>5</v>
      </c>
      <c r="T40" s="11">
        <v>4</v>
      </c>
      <c r="U40" s="9">
        <f t="shared" ref="U40" si="22">(K40-10)/20+L40/100</f>
        <v>3.9</v>
      </c>
      <c r="V40" s="11">
        <v>4</v>
      </c>
      <c r="W40" s="12">
        <f t="shared" ref="W40" si="23">I40/3.5</f>
        <v>21.428571428571427</v>
      </c>
      <c r="X40" s="13">
        <v>20</v>
      </c>
      <c r="Y40" s="15"/>
    </row>
    <row r="41" spans="1:25" x14ac:dyDescent="0.3">
      <c r="A41" s="6" t="s">
        <v>183</v>
      </c>
      <c r="B41" s="31" t="s">
        <v>184</v>
      </c>
      <c r="C41" s="31"/>
      <c r="D41" s="6">
        <v>300</v>
      </c>
      <c r="E41" s="6"/>
      <c r="F41" s="6" t="s">
        <v>185</v>
      </c>
      <c r="G41" s="6"/>
      <c r="H41" s="6"/>
      <c r="I41" s="6">
        <v>7.9</v>
      </c>
      <c r="J41" s="6"/>
      <c r="K41" s="6"/>
      <c r="L41" s="6"/>
      <c r="M41" s="5"/>
      <c r="N41" s="11">
        <v>1</v>
      </c>
      <c r="O41" s="11"/>
      <c r="P41" s="5"/>
      <c r="Q41" s="11"/>
      <c r="R41" s="11"/>
      <c r="S41" s="11"/>
      <c r="T41" s="11"/>
      <c r="U41" s="11"/>
      <c r="V41" s="11"/>
      <c r="W41" s="11"/>
      <c r="X41" s="11"/>
      <c r="Y41" s="33"/>
    </row>
    <row r="42" spans="1:25" x14ac:dyDescent="0.3">
      <c r="A42" s="6" t="s">
        <v>65</v>
      </c>
      <c r="B42" s="31" t="s">
        <v>184</v>
      </c>
      <c r="C42" s="31"/>
      <c r="D42" s="6">
        <v>300</v>
      </c>
      <c r="E42" s="6"/>
      <c r="F42" s="6" t="s">
        <v>186</v>
      </c>
      <c r="G42" s="6"/>
      <c r="H42" s="6"/>
      <c r="I42" s="6">
        <v>14.5</v>
      </c>
      <c r="J42" s="6"/>
      <c r="K42" s="6"/>
      <c r="L42" s="6"/>
      <c r="M42" s="5"/>
      <c r="P42" s="5"/>
    </row>
    <row r="43" spans="1:25" x14ac:dyDescent="0.3">
      <c r="B43" t="s">
        <v>187</v>
      </c>
    </row>
    <row r="44" spans="1:25" x14ac:dyDescent="0.3">
      <c r="B44" t="s">
        <v>188</v>
      </c>
    </row>
  </sheetData>
  <pageMargins left="0.7" right="0.7" top="1.14375" bottom="1.143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19EE7-039A-4DFA-87C5-BD304364C57B}">
  <dimension ref="A1:Y36"/>
  <sheetViews>
    <sheetView zoomScaleNormal="100" workbookViewId="0">
      <pane xSplit="2" ySplit="1" topLeftCell="F36" activePane="bottomRight" state="frozen"/>
      <selection pane="topRight" activeCell="C1" sqref="C1"/>
      <selection pane="bottomLeft" activeCell="A14" sqref="A14"/>
      <selection pane="bottomRight" activeCell="B36" sqref="B36"/>
    </sheetView>
  </sheetViews>
  <sheetFormatPr defaultRowHeight="14.4" x14ac:dyDescent="0.3"/>
  <cols>
    <col min="1" max="1" width="9.109375" customWidth="1"/>
    <col min="2" max="2" width="24.44140625" customWidth="1"/>
    <col min="3" max="5" width="11.5546875" customWidth="1"/>
    <col min="6" max="12" width="9.109375" customWidth="1"/>
    <col min="13" max="13" width="11.33203125" customWidth="1"/>
    <col min="14" max="15" width="9.109375" customWidth="1"/>
    <col min="16" max="16" width="9.33203125" style="38" customWidth="1"/>
    <col min="17" max="17" width="9.109375" customWidth="1"/>
    <col min="18" max="18" width="9.109375" style="38" customWidth="1"/>
    <col min="19" max="20" width="9.109375" customWidth="1"/>
    <col min="21" max="23" width="9.109375" style="38" customWidth="1"/>
    <col min="24" max="24" width="9.109375" customWidth="1"/>
    <col min="25" max="25" width="49.109375" customWidth="1"/>
    <col min="26" max="1025" width="9.109375" customWidth="1"/>
  </cols>
  <sheetData>
    <row r="1" spans="1:25" s="5" customFormat="1" ht="57.6" x14ac:dyDescent="0.3">
      <c r="A1" s="1"/>
      <c r="B1" s="2"/>
      <c r="C1" s="3" t="s">
        <v>0</v>
      </c>
      <c r="D1" s="4" t="s">
        <v>449</v>
      </c>
      <c r="E1" s="4" t="s">
        <v>2</v>
      </c>
      <c r="F1" s="4" t="s">
        <v>3</v>
      </c>
      <c r="G1" s="4" t="s">
        <v>4</v>
      </c>
      <c r="H1" s="4" t="s">
        <v>5</v>
      </c>
      <c r="I1" s="1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1" t="s">
        <v>11</v>
      </c>
      <c r="O1" s="1" t="s">
        <v>12</v>
      </c>
      <c r="P1" s="4" t="s">
        <v>13</v>
      </c>
      <c r="Q1" s="1" t="s">
        <v>14</v>
      </c>
      <c r="R1" s="4" t="s">
        <v>15</v>
      </c>
      <c r="S1" s="1" t="s">
        <v>16</v>
      </c>
      <c r="T1" s="1" t="s">
        <v>17</v>
      </c>
      <c r="U1" s="4" t="s">
        <v>18</v>
      </c>
      <c r="V1" s="1" t="s">
        <v>19</v>
      </c>
      <c r="W1" s="4" t="s">
        <v>20</v>
      </c>
      <c r="X1" s="1" t="s">
        <v>21</v>
      </c>
      <c r="Y1" s="1" t="s">
        <v>22</v>
      </c>
    </row>
    <row r="2" spans="1:25" x14ac:dyDescent="0.3">
      <c r="M2" s="9"/>
      <c r="N2" s="11"/>
      <c r="O2" s="11"/>
      <c r="P2" s="36"/>
      <c r="Q2" s="11"/>
      <c r="R2" s="35"/>
      <c r="S2" s="11"/>
      <c r="T2" s="11"/>
      <c r="U2" s="37"/>
      <c r="V2" s="11"/>
      <c r="W2" s="37"/>
      <c r="X2" s="11"/>
      <c r="Y2" s="15"/>
    </row>
    <row r="3" spans="1:25" x14ac:dyDescent="0.3">
      <c r="A3" s="27" t="s">
        <v>89</v>
      </c>
      <c r="D3" s="28" t="s">
        <v>90</v>
      </c>
      <c r="M3" s="9"/>
      <c r="N3" s="11"/>
      <c r="O3" s="11"/>
      <c r="P3" s="36"/>
      <c r="Q3" s="11"/>
      <c r="R3" s="35"/>
      <c r="S3" s="11"/>
      <c r="T3" s="11"/>
      <c r="U3" s="37"/>
      <c r="V3" s="11"/>
      <c r="W3" s="37"/>
      <c r="X3" s="11"/>
      <c r="Y3" s="15"/>
    </row>
    <row r="4" spans="1:25" x14ac:dyDescent="0.3">
      <c r="A4" s="106" t="s">
        <v>65</v>
      </c>
      <c r="B4" s="107" t="s">
        <v>91</v>
      </c>
      <c r="C4" s="22" t="s">
        <v>57</v>
      </c>
      <c r="D4" s="6">
        <v>2500</v>
      </c>
      <c r="E4" s="6"/>
      <c r="F4" s="6">
        <v>10</v>
      </c>
      <c r="G4" s="6">
        <v>16</v>
      </c>
      <c r="H4" s="6">
        <v>35</v>
      </c>
      <c r="I4" s="6">
        <v>76</v>
      </c>
      <c r="J4" s="6">
        <v>1</v>
      </c>
      <c r="K4" s="6">
        <v>45</v>
      </c>
      <c r="L4" s="6">
        <v>320</v>
      </c>
      <c r="M4" s="9"/>
      <c r="N4" s="11">
        <v>1</v>
      </c>
      <c r="O4" s="11">
        <v>3</v>
      </c>
      <c r="P4" s="36">
        <f>5+F4*3/2.4</f>
        <v>17.5</v>
      </c>
      <c r="Q4" s="13">
        <v>25</v>
      </c>
      <c r="R4" s="35">
        <f>H4/15</f>
        <v>2.3333333333333335</v>
      </c>
      <c r="S4" s="11">
        <v>3</v>
      </c>
      <c r="T4" s="11">
        <v>2</v>
      </c>
      <c r="U4" s="37">
        <f>(K4-10)/20+L4/100</f>
        <v>4.95</v>
      </c>
      <c r="V4" s="11">
        <v>5</v>
      </c>
      <c r="W4" s="36">
        <f>I4/3.5</f>
        <v>21.714285714285715</v>
      </c>
      <c r="X4" s="11">
        <v>7</v>
      </c>
      <c r="Y4" s="15" t="s">
        <v>92</v>
      </c>
    </row>
    <row r="5" spans="1:25" x14ac:dyDescent="0.3">
      <c r="A5" s="6" t="s">
        <v>65</v>
      </c>
      <c r="B5" s="24" t="s">
        <v>93</v>
      </c>
      <c r="C5" s="20" t="s">
        <v>94</v>
      </c>
      <c r="D5" s="6"/>
      <c r="E5" s="6"/>
      <c r="F5" s="6">
        <v>29</v>
      </c>
      <c r="G5" s="6">
        <v>20</v>
      </c>
      <c r="H5" s="6">
        <v>45</v>
      </c>
      <c r="I5" s="6">
        <v>85</v>
      </c>
      <c r="J5" s="6">
        <v>1</v>
      </c>
      <c r="K5" s="6">
        <v>55</v>
      </c>
      <c r="L5" s="6">
        <v>280</v>
      </c>
      <c r="M5" s="9"/>
      <c r="N5" s="11">
        <v>1</v>
      </c>
      <c r="O5" s="11">
        <v>4</v>
      </c>
      <c r="P5" s="36">
        <f>5+F5*3/2.4</f>
        <v>41.25</v>
      </c>
      <c r="Q5" s="13">
        <v>25</v>
      </c>
      <c r="R5" s="35">
        <f>H5/15</f>
        <v>3</v>
      </c>
      <c r="S5" s="11">
        <v>3</v>
      </c>
      <c r="T5" s="11">
        <v>3</v>
      </c>
      <c r="U5" s="37">
        <f>(K5-10)/20+L5/100</f>
        <v>5.05</v>
      </c>
      <c r="V5" s="11">
        <v>5</v>
      </c>
      <c r="W5" s="36">
        <f>I5/3.5</f>
        <v>24.285714285714285</v>
      </c>
      <c r="X5" s="11">
        <v>8</v>
      </c>
      <c r="Y5" s="15" t="s">
        <v>92</v>
      </c>
    </row>
    <row r="6" spans="1:25" x14ac:dyDescent="0.3">
      <c r="A6" s="6" t="s">
        <v>65</v>
      </c>
      <c r="B6" s="24" t="s">
        <v>95</v>
      </c>
      <c r="C6" s="20" t="s">
        <v>96</v>
      </c>
      <c r="D6" s="6">
        <v>2000</v>
      </c>
      <c r="E6" s="6">
        <v>4</v>
      </c>
      <c r="F6" s="6">
        <v>31</v>
      </c>
      <c r="G6" s="6">
        <v>20</v>
      </c>
      <c r="H6" s="6">
        <v>75</v>
      </c>
      <c r="I6" s="6">
        <v>100</v>
      </c>
      <c r="J6" s="6">
        <v>1</v>
      </c>
      <c r="K6" s="6">
        <v>48</v>
      </c>
      <c r="L6" s="6">
        <v>250</v>
      </c>
      <c r="M6" s="9"/>
      <c r="N6" s="11">
        <v>1</v>
      </c>
      <c r="O6" s="11">
        <v>4</v>
      </c>
      <c r="P6" s="36">
        <f>5+F6*3/2.4</f>
        <v>43.75</v>
      </c>
      <c r="Q6" s="13">
        <v>25</v>
      </c>
      <c r="R6" s="35">
        <f>H6/15</f>
        <v>5</v>
      </c>
      <c r="S6" s="11">
        <v>5</v>
      </c>
      <c r="T6" s="11">
        <v>5</v>
      </c>
      <c r="U6" s="37">
        <f>(K6-10)/20+L6/100</f>
        <v>4.4000000000000004</v>
      </c>
      <c r="V6" s="11">
        <v>4</v>
      </c>
      <c r="W6" s="36">
        <f>I6/3.5</f>
        <v>28.571428571428573</v>
      </c>
      <c r="X6" s="11">
        <v>9</v>
      </c>
      <c r="Y6" s="15" t="s">
        <v>92</v>
      </c>
    </row>
    <row r="7" spans="1:25" x14ac:dyDescent="0.3">
      <c r="A7" s="6" t="s">
        <v>65</v>
      </c>
      <c r="B7" s="24" t="s">
        <v>97</v>
      </c>
      <c r="C7" s="20" t="s">
        <v>98</v>
      </c>
      <c r="D7" s="6"/>
      <c r="E7" s="6"/>
      <c r="F7" s="6">
        <v>45.5</v>
      </c>
      <c r="G7" s="25">
        <v>60</v>
      </c>
      <c r="H7" s="6">
        <v>120</v>
      </c>
      <c r="I7" s="6">
        <v>122</v>
      </c>
      <c r="J7" s="6">
        <v>1</v>
      </c>
      <c r="K7" s="6">
        <v>37</v>
      </c>
      <c r="L7" s="6">
        <v>220</v>
      </c>
      <c r="M7" s="9"/>
      <c r="N7" s="11">
        <v>1</v>
      </c>
      <c r="O7" s="11">
        <v>5</v>
      </c>
      <c r="P7" s="36">
        <f>5+F7*3/2.4</f>
        <v>61.875</v>
      </c>
      <c r="Q7" s="13">
        <v>25</v>
      </c>
      <c r="R7" s="35">
        <f>H7/15</f>
        <v>8</v>
      </c>
      <c r="S7" s="11">
        <v>8</v>
      </c>
      <c r="T7" s="11">
        <v>8</v>
      </c>
      <c r="U7" s="37">
        <f>(K7-10)/20+L7/100</f>
        <v>3.5500000000000003</v>
      </c>
      <c r="V7" s="11">
        <v>3</v>
      </c>
      <c r="W7" s="36">
        <f>I7/3.5</f>
        <v>34.857142857142854</v>
      </c>
      <c r="X7" s="11">
        <v>11</v>
      </c>
      <c r="Y7" s="15" t="s">
        <v>92</v>
      </c>
    </row>
    <row r="8" spans="1:25" x14ac:dyDescent="0.3">
      <c r="A8" s="6" t="s">
        <v>65</v>
      </c>
      <c r="B8" s="24" t="s">
        <v>99</v>
      </c>
      <c r="C8" s="20" t="s">
        <v>100</v>
      </c>
      <c r="D8" s="6"/>
      <c r="E8" s="6"/>
      <c r="F8" s="6">
        <v>47</v>
      </c>
      <c r="G8" s="6">
        <v>60</v>
      </c>
      <c r="H8" s="6">
        <v>300</v>
      </c>
      <c r="I8" s="6">
        <v>152</v>
      </c>
      <c r="J8" s="6">
        <v>1</v>
      </c>
      <c r="K8" s="6">
        <v>30</v>
      </c>
      <c r="L8" s="6">
        <v>220</v>
      </c>
      <c r="M8" s="9"/>
      <c r="N8" s="11">
        <v>1</v>
      </c>
      <c r="O8" s="11">
        <v>7</v>
      </c>
      <c r="P8" s="36">
        <f>5+F8*3/2.4</f>
        <v>63.75</v>
      </c>
      <c r="Q8" s="13">
        <v>25</v>
      </c>
      <c r="R8" s="35">
        <f>H8/15</f>
        <v>20</v>
      </c>
      <c r="S8" s="11">
        <v>20</v>
      </c>
      <c r="T8" s="11">
        <v>20</v>
      </c>
      <c r="U8" s="37">
        <f>(K8-10)/20+L8/100</f>
        <v>3.2</v>
      </c>
      <c r="V8" s="11">
        <v>3</v>
      </c>
      <c r="W8" s="36">
        <f>I8/3.5</f>
        <v>43.428571428571431</v>
      </c>
      <c r="X8" s="11">
        <v>14</v>
      </c>
      <c r="Y8" s="15" t="s">
        <v>92</v>
      </c>
    </row>
    <row r="10" spans="1:25" x14ac:dyDescent="0.3">
      <c r="A10" s="106" t="s">
        <v>24</v>
      </c>
      <c r="B10" s="107" t="s">
        <v>356</v>
      </c>
      <c r="C10" s="22">
        <v>1942</v>
      </c>
      <c r="D10" s="16">
        <v>2000</v>
      </c>
      <c r="E10" s="6"/>
      <c r="F10" s="6">
        <v>15.4</v>
      </c>
      <c r="G10" s="6">
        <v>25</v>
      </c>
      <c r="H10" s="6">
        <v>51</v>
      </c>
      <c r="I10" s="6">
        <v>75</v>
      </c>
      <c r="J10" s="6">
        <v>1</v>
      </c>
      <c r="K10" s="6">
        <v>38</v>
      </c>
      <c r="L10" s="8">
        <v>200</v>
      </c>
      <c r="M10" s="9"/>
      <c r="N10" s="10">
        <v>1</v>
      </c>
      <c r="O10" s="11">
        <v>3</v>
      </c>
      <c r="P10" s="36">
        <f t="shared" ref="P10:P18" si="0">5+F10*3/2.4</f>
        <v>24.250000000000004</v>
      </c>
      <c r="Q10" s="13"/>
      <c r="R10" s="35">
        <f t="shared" ref="R10:R18" si="1">H10/15</f>
        <v>3.4</v>
      </c>
      <c r="S10" s="11">
        <v>3</v>
      </c>
      <c r="T10" s="11">
        <v>1</v>
      </c>
      <c r="U10" s="37">
        <f t="shared" ref="U10:U18" si="2">(K10-10)/20+L10/100</f>
        <v>3.4</v>
      </c>
      <c r="V10" s="11">
        <v>4</v>
      </c>
      <c r="W10" s="36">
        <f t="shared" ref="W10:W18" si="3">I10/3.5</f>
        <v>21.428571428571427</v>
      </c>
      <c r="X10" s="11">
        <v>7</v>
      </c>
      <c r="Y10" s="15" t="s">
        <v>92</v>
      </c>
    </row>
    <row r="11" spans="1:25" x14ac:dyDescent="0.3">
      <c r="A11" s="6" t="s">
        <v>24</v>
      </c>
      <c r="B11" s="7" t="s">
        <v>357</v>
      </c>
      <c r="C11" s="20">
        <v>1943</v>
      </c>
      <c r="D11" s="16">
        <v>2000</v>
      </c>
      <c r="E11" s="6"/>
      <c r="F11" s="6">
        <v>15.4</v>
      </c>
      <c r="G11" s="6">
        <v>25</v>
      </c>
      <c r="H11" s="6">
        <v>61</v>
      </c>
      <c r="I11" s="6">
        <v>105</v>
      </c>
      <c r="J11" s="6">
        <v>1</v>
      </c>
      <c r="K11" s="6">
        <v>38</v>
      </c>
      <c r="L11" s="8">
        <v>200</v>
      </c>
      <c r="M11" s="9"/>
      <c r="N11" s="10">
        <v>1</v>
      </c>
      <c r="O11" s="11">
        <v>3</v>
      </c>
      <c r="P11" s="36">
        <f t="shared" si="0"/>
        <v>24.250000000000004</v>
      </c>
      <c r="Q11" s="13"/>
      <c r="R11" s="35">
        <f t="shared" si="1"/>
        <v>4.0666666666666664</v>
      </c>
      <c r="S11" s="11">
        <v>4</v>
      </c>
      <c r="T11" s="11">
        <v>1</v>
      </c>
      <c r="U11" s="37">
        <f t="shared" si="2"/>
        <v>3.4</v>
      </c>
      <c r="V11" s="11">
        <v>4</v>
      </c>
      <c r="W11" s="36">
        <f t="shared" si="3"/>
        <v>30</v>
      </c>
      <c r="X11" s="11">
        <v>10</v>
      </c>
      <c r="Y11" s="15" t="s">
        <v>92</v>
      </c>
    </row>
    <row r="12" spans="1:25" ht="28.8" x14ac:dyDescent="0.3">
      <c r="A12" s="106" t="s">
        <v>27</v>
      </c>
      <c r="B12" s="107" t="s">
        <v>448</v>
      </c>
      <c r="C12" s="20" t="s">
        <v>59</v>
      </c>
      <c r="D12" s="6">
        <v>1500</v>
      </c>
      <c r="E12" s="6"/>
      <c r="F12" s="6">
        <v>15</v>
      </c>
      <c r="G12" s="6">
        <v>14</v>
      </c>
      <c r="H12" s="6">
        <v>60</v>
      </c>
      <c r="I12" s="6">
        <v>76.2</v>
      </c>
      <c r="J12" s="6">
        <v>1</v>
      </c>
      <c r="K12" s="6">
        <v>32</v>
      </c>
      <c r="L12" s="6">
        <v>230</v>
      </c>
      <c r="M12" s="9"/>
      <c r="N12" s="11">
        <v>1</v>
      </c>
      <c r="O12" s="11">
        <v>3</v>
      </c>
      <c r="P12" s="36">
        <f t="shared" ref="P12" si="4">5+F12*3/2.4</f>
        <v>23.75</v>
      </c>
      <c r="Q12" s="13">
        <v>25</v>
      </c>
      <c r="R12" s="35">
        <f t="shared" ref="R12" si="5">H12/15</f>
        <v>4</v>
      </c>
      <c r="S12" s="11">
        <v>4</v>
      </c>
      <c r="T12" s="11">
        <v>4</v>
      </c>
      <c r="U12" s="37">
        <f t="shared" ref="U12" si="6">(K12-10)/20+L12/100</f>
        <v>3.4</v>
      </c>
      <c r="V12" s="11">
        <v>4</v>
      </c>
      <c r="W12" s="36">
        <f t="shared" ref="W12" si="7">I12/3.5</f>
        <v>21.771428571428572</v>
      </c>
      <c r="X12" s="11">
        <v>7</v>
      </c>
      <c r="Y12" s="15" t="s">
        <v>92</v>
      </c>
    </row>
    <row r="13" spans="1:25" x14ac:dyDescent="0.3">
      <c r="A13" s="6" t="s">
        <v>32</v>
      </c>
      <c r="B13" s="7" t="s">
        <v>303</v>
      </c>
      <c r="C13" s="22" t="s">
        <v>70</v>
      </c>
      <c r="D13" s="6">
        <v>2000</v>
      </c>
      <c r="E13" s="6"/>
      <c r="F13" s="6">
        <v>30</v>
      </c>
      <c r="G13" s="6">
        <v>10</v>
      </c>
      <c r="H13" s="6">
        <v>57</v>
      </c>
      <c r="I13" s="6">
        <v>76</v>
      </c>
      <c r="J13" s="6">
        <v>1</v>
      </c>
      <c r="K13" s="6">
        <v>51</v>
      </c>
      <c r="L13" s="6">
        <v>300</v>
      </c>
      <c r="M13" s="9"/>
      <c r="N13" s="11">
        <v>1</v>
      </c>
      <c r="O13" s="11">
        <v>4</v>
      </c>
      <c r="P13" s="36">
        <f t="shared" si="0"/>
        <v>42.5</v>
      </c>
      <c r="Q13" s="13">
        <v>25</v>
      </c>
      <c r="R13" s="35">
        <f t="shared" si="1"/>
        <v>3.8</v>
      </c>
      <c r="S13" s="11">
        <v>4</v>
      </c>
      <c r="T13" s="11">
        <v>3</v>
      </c>
      <c r="U13" s="37">
        <f t="shared" si="2"/>
        <v>5.05</v>
      </c>
      <c r="V13" s="11">
        <v>5</v>
      </c>
      <c r="W13" s="36">
        <f t="shared" si="3"/>
        <v>21.714285714285715</v>
      </c>
      <c r="X13" s="11">
        <v>7</v>
      </c>
      <c r="Y13" s="15" t="s">
        <v>92</v>
      </c>
    </row>
    <row r="14" spans="1:25" x14ac:dyDescent="0.3">
      <c r="A14" s="106" t="s">
        <v>32</v>
      </c>
      <c r="B14" s="107" t="s">
        <v>101</v>
      </c>
      <c r="C14" s="20" t="s">
        <v>84</v>
      </c>
      <c r="D14" s="6">
        <v>2000</v>
      </c>
      <c r="E14" s="6"/>
      <c r="F14" s="6">
        <v>18</v>
      </c>
      <c r="G14" s="6">
        <v>5</v>
      </c>
      <c r="H14" s="6">
        <v>25</v>
      </c>
      <c r="I14" s="6">
        <v>76</v>
      </c>
      <c r="J14" s="6">
        <v>1</v>
      </c>
      <c r="K14" s="6">
        <v>60</v>
      </c>
      <c r="L14" s="6">
        <v>160</v>
      </c>
      <c r="M14" s="9"/>
      <c r="N14" s="11">
        <v>1</v>
      </c>
      <c r="O14" s="11">
        <v>3</v>
      </c>
      <c r="P14" s="36">
        <f t="shared" si="0"/>
        <v>27.5</v>
      </c>
      <c r="Q14" s="13">
        <v>25</v>
      </c>
      <c r="R14" s="35">
        <f t="shared" si="1"/>
        <v>1.6666666666666667</v>
      </c>
      <c r="S14" s="11">
        <v>2</v>
      </c>
      <c r="T14" s="11">
        <v>2</v>
      </c>
      <c r="U14" s="37">
        <f t="shared" si="2"/>
        <v>4.0999999999999996</v>
      </c>
      <c r="V14" s="11">
        <v>4</v>
      </c>
      <c r="W14" s="36">
        <f t="shared" si="3"/>
        <v>21.714285714285715</v>
      </c>
      <c r="X14" s="11">
        <v>7</v>
      </c>
      <c r="Y14" s="15" t="s">
        <v>92</v>
      </c>
    </row>
    <row r="15" spans="1:25" x14ac:dyDescent="0.3">
      <c r="A15" s="6" t="s">
        <v>32</v>
      </c>
      <c r="B15" s="7" t="s">
        <v>326</v>
      </c>
      <c r="C15" s="20" t="s">
        <v>84</v>
      </c>
      <c r="D15" s="6">
        <v>2000</v>
      </c>
      <c r="E15" s="6"/>
      <c r="F15" s="6">
        <v>18</v>
      </c>
      <c r="G15" s="6">
        <v>5</v>
      </c>
      <c r="H15" s="6">
        <v>25</v>
      </c>
      <c r="I15" s="6">
        <v>90</v>
      </c>
      <c r="J15" s="6">
        <v>1</v>
      </c>
      <c r="K15" s="6">
        <v>90</v>
      </c>
      <c r="L15" s="6">
        <v>160</v>
      </c>
      <c r="M15" s="9"/>
      <c r="N15" s="11">
        <v>1</v>
      </c>
      <c r="O15" s="11">
        <v>3</v>
      </c>
      <c r="P15" s="36">
        <f t="shared" si="0"/>
        <v>27.5</v>
      </c>
      <c r="Q15" s="13">
        <v>25</v>
      </c>
      <c r="R15" s="35">
        <f t="shared" si="1"/>
        <v>1.6666666666666667</v>
      </c>
      <c r="S15" s="11">
        <v>2</v>
      </c>
      <c r="T15" s="11">
        <v>2</v>
      </c>
      <c r="U15" s="37">
        <f t="shared" si="2"/>
        <v>5.6</v>
      </c>
      <c r="V15" s="11">
        <v>5</v>
      </c>
      <c r="W15" s="36">
        <f t="shared" si="3"/>
        <v>25.714285714285715</v>
      </c>
      <c r="X15" s="11">
        <v>9</v>
      </c>
      <c r="Y15" s="15" t="s">
        <v>92</v>
      </c>
    </row>
    <row r="16" spans="1:25" x14ac:dyDescent="0.3">
      <c r="A16" s="6" t="s">
        <v>32</v>
      </c>
      <c r="B16" s="7" t="s">
        <v>304</v>
      </c>
      <c r="C16" s="20" t="s">
        <v>109</v>
      </c>
      <c r="D16" s="6">
        <v>3200</v>
      </c>
      <c r="E16" s="6"/>
      <c r="F16" s="6">
        <v>29</v>
      </c>
      <c r="G16" s="6">
        <v>10</v>
      </c>
      <c r="H16" s="6">
        <v>127</v>
      </c>
      <c r="I16" s="6">
        <v>76</v>
      </c>
      <c r="J16" s="6">
        <v>1</v>
      </c>
      <c r="K16" s="6">
        <v>42</v>
      </c>
      <c r="L16" s="6">
        <v>240</v>
      </c>
      <c r="M16" s="9"/>
      <c r="N16" s="11">
        <v>1</v>
      </c>
      <c r="O16" s="11">
        <v>5</v>
      </c>
      <c r="P16" s="36">
        <f t="shared" si="0"/>
        <v>41.25</v>
      </c>
      <c r="Q16" s="13">
        <v>25</v>
      </c>
      <c r="R16" s="35">
        <f t="shared" si="1"/>
        <v>8.4666666666666668</v>
      </c>
      <c r="S16" s="11">
        <v>9</v>
      </c>
      <c r="T16" s="11">
        <v>8</v>
      </c>
      <c r="U16" s="37">
        <f t="shared" si="2"/>
        <v>4</v>
      </c>
      <c r="V16" s="11">
        <v>4</v>
      </c>
      <c r="W16" s="36">
        <f t="shared" si="3"/>
        <v>21.714285714285715</v>
      </c>
      <c r="X16" s="11">
        <v>7</v>
      </c>
      <c r="Y16" s="15" t="s">
        <v>92</v>
      </c>
    </row>
    <row r="17" spans="1:25" x14ac:dyDescent="0.3">
      <c r="A17" s="6" t="s">
        <v>32</v>
      </c>
      <c r="B17" s="7" t="s">
        <v>305</v>
      </c>
      <c r="C17" s="20" t="s">
        <v>109</v>
      </c>
      <c r="D17" s="6">
        <v>3200</v>
      </c>
      <c r="E17" s="6"/>
      <c r="F17" s="6">
        <v>29</v>
      </c>
      <c r="G17" s="6">
        <v>10</v>
      </c>
      <c r="H17" s="6">
        <v>127</v>
      </c>
      <c r="I17" s="6">
        <v>90</v>
      </c>
      <c r="J17" s="6">
        <v>1</v>
      </c>
      <c r="K17" s="6">
        <v>42</v>
      </c>
      <c r="L17" s="6">
        <v>240</v>
      </c>
      <c r="M17" s="9"/>
      <c r="N17" s="11">
        <v>1</v>
      </c>
      <c r="O17" s="11">
        <v>5</v>
      </c>
      <c r="P17" s="36">
        <f t="shared" si="0"/>
        <v>41.25</v>
      </c>
      <c r="Q17" s="13">
        <v>25</v>
      </c>
      <c r="R17" s="35">
        <f t="shared" si="1"/>
        <v>8.4666666666666668</v>
      </c>
      <c r="S17" s="11">
        <v>9</v>
      </c>
      <c r="T17" s="11">
        <v>8</v>
      </c>
      <c r="U17" s="37">
        <f t="shared" si="2"/>
        <v>4</v>
      </c>
      <c r="V17" s="11">
        <v>4</v>
      </c>
      <c r="W17" s="36">
        <f t="shared" si="3"/>
        <v>25.714285714285715</v>
      </c>
      <c r="X17" s="11">
        <v>9</v>
      </c>
      <c r="Y17" s="15" t="s">
        <v>92</v>
      </c>
    </row>
    <row r="18" spans="1:25" x14ac:dyDescent="0.3">
      <c r="A18" s="6" t="s">
        <v>32</v>
      </c>
      <c r="B18" s="7" t="s">
        <v>302</v>
      </c>
      <c r="C18" s="20">
        <v>1945</v>
      </c>
      <c r="D18" s="6">
        <v>2000</v>
      </c>
      <c r="E18" s="6"/>
      <c r="F18" s="6">
        <v>86</v>
      </c>
      <c r="G18" s="6">
        <v>305</v>
      </c>
      <c r="H18" s="6">
        <v>305</v>
      </c>
      <c r="I18" s="6">
        <v>105</v>
      </c>
      <c r="J18" s="6">
        <v>1</v>
      </c>
      <c r="K18" s="6">
        <v>13</v>
      </c>
      <c r="L18" s="6">
        <v>100</v>
      </c>
      <c r="M18" s="9"/>
      <c r="N18" s="11">
        <v>1</v>
      </c>
      <c r="O18" s="11">
        <v>8</v>
      </c>
      <c r="P18" s="36">
        <f t="shared" si="0"/>
        <v>112.5</v>
      </c>
      <c r="Q18" s="13">
        <v>25</v>
      </c>
      <c r="R18" s="35">
        <f t="shared" si="1"/>
        <v>20.333333333333332</v>
      </c>
      <c r="S18" s="11">
        <v>21</v>
      </c>
      <c r="T18" s="11">
        <v>20</v>
      </c>
      <c r="U18" s="37">
        <f t="shared" si="2"/>
        <v>1.1499999999999999</v>
      </c>
      <c r="V18" s="11">
        <v>2</v>
      </c>
      <c r="W18" s="36">
        <f t="shared" si="3"/>
        <v>30</v>
      </c>
      <c r="X18" s="11">
        <v>10</v>
      </c>
      <c r="Y18" s="15" t="s">
        <v>92</v>
      </c>
    </row>
    <row r="20" spans="1:25" x14ac:dyDescent="0.3">
      <c r="A20" s="106" t="s">
        <v>44</v>
      </c>
      <c r="B20" s="107" t="s">
        <v>102</v>
      </c>
      <c r="C20" s="18" t="s">
        <v>70</v>
      </c>
      <c r="D20" s="6">
        <v>1800</v>
      </c>
      <c r="E20" s="6"/>
      <c r="F20" s="6">
        <v>11</v>
      </c>
      <c r="G20" s="6">
        <v>5</v>
      </c>
      <c r="H20" s="6">
        <v>35</v>
      </c>
      <c r="I20" s="6">
        <v>75</v>
      </c>
      <c r="J20" s="6">
        <v>1</v>
      </c>
      <c r="K20" s="6">
        <v>40</v>
      </c>
      <c r="L20" s="6">
        <v>190</v>
      </c>
      <c r="M20" s="9"/>
      <c r="N20" s="11">
        <v>1</v>
      </c>
      <c r="O20" s="11">
        <v>3</v>
      </c>
      <c r="P20" s="36">
        <f t="shared" ref="P20:P26" si="8">5+F20*3/2.4</f>
        <v>18.75</v>
      </c>
      <c r="Q20" s="13">
        <v>25</v>
      </c>
      <c r="R20" s="35">
        <f t="shared" ref="R20:R27" si="9">H20/15</f>
        <v>2.3333333333333335</v>
      </c>
      <c r="S20" s="11">
        <v>3</v>
      </c>
      <c r="T20" s="11">
        <v>2</v>
      </c>
      <c r="U20" s="37">
        <f t="shared" ref="U20:U27" si="10">(K20-10)/20+L20/100</f>
        <v>3.4</v>
      </c>
      <c r="V20" s="11">
        <v>4</v>
      </c>
      <c r="W20" s="36">
        <f t="shared" ref="W20:W27" si="11">I20/3.5</f>
        <v>21.428571428571427</v>
      </c>
      <c r="X20" s="11">
        <v>7</v>
      </c>
      <c r="Y20" s="15" t="s">
        <v>92</v>
      </c>
    </row>
    <row r="21" spans="1:25" x14ac:dyDescent="0.3">
      <c r="A21" s="6" t="s">
        <v>44</v>
      </c>
      <c r="B21" s="23" t="s">
        <v>103</v>
      </c>
      <c r="C21" s="21" t="s">
        <v>59</v>
      </c>
      <c r="D21" s="6">
        <v>1800</v>
      </c>
      <c r="E21" s="6"/>
      <c r="F21" s="6">
        <v>26</v>
      </c>
      <c r="G21" s="6">
        <v>10</v>
      </c>
      <c r="H21" s="6">
        <v>80</v>
      </c>
      <c r="I21" s="6">
        <v>75</v>
      </c>
      <c r="J21" s="6">
        <v>1</v>
      </c>
      <c r="K21" s="6">
        <v>26</v>
      </c>
      <c r="L21" s="6">
        <v>210</v>
      </c>
      <c r="M21" s="9"/>
      <c r="N21" s="11">
        <v>1</v>
      </c>
      <c r="O21" s="11">
        <v>3</v>
      </c>
      <c r="P21" s="36">
        <f t="shared" si="8"/>
        <v>37.5</v>
      </c>
      <c r="Q21" s="13"/>
      <c r="R21" s="35">
        <f t="shared" si="9"/>
        <v>5.333333333333333</v>
      </c>
      <c r="S21" s="11">
        <v>5</v>
      </c>
      <c r="T21" s="11">
        <v>5</v>
      </c>
      <c r="U21" s="37">
        <f t="shared" si="10"/>
        <v>2.9000000000000004</v>
      </c>
      <c r="V21" s="11">
        <v>3</v>
      </c>
      <c r="W21" s="36">
        <f t="shared" si="11"/>
        <v>21.428571428571427</v>
      </c>
      <c r="X21" s="11">
        <v>7</v>
      </c>
      <c r="Y21" s="15" t="s">
        <v>92</v>
      </c>
    </row>
    <row r="22" spans="1:25" x14ac:dyDescent="0.3">
      <c r="A22" s="6" t="s">
        <v>44</v>
      </c>
      <c r="B22" s="7" t="s">
        <v>104</v>
      </c>
      <c r="C22" s="18" t="s">
        <v>105</v>
      </c>
      <c r="D22" s="6">
        <v>1800</v>
      </c>
      <c r="E22" s="6"/>
      <c r="F22" s="6">
        <v>24</v>
      </c>
      <c r="G22" s="6">
        <v>16</v>
      </c>
      <c r="H22" s="6">
        <v>80</v>
      </c>
      <c r="I22" s="6">
        <v>75</v>
      </c>
      <c r="J22" s="6">
        <v>1</v>
      </c>
      <c r="K22" s="6">
        <v>40</v>
      </c>
      <c r="L22" s="6">
        <v>155</v>
      </c>
      <c r="M22" s="9"/>
      <c r="N22" s="11">
        <v>1</v>
      </c>
      <c r="O22" s="11">
        <v>3</v>
      </c>
      <c r="P22" s="36">
        <f t="shared" si="8"/>
        <v>35</v>
      </c>
      <c r="Q22" s="13"/>
      <c r="R22" s="35">
        <f t="shared" si="9"/>
        <v>5.333333333333333</v>
      </c>
      <c r="S22" s="11">
        <v>5</v>
      </c>
      <c r="T22" s="11">
        <v>5</v>
      </c>
      <c r="U22" s="37">
        <f t="shared" si="10"/>
        <v>3.05</v>
      </c>
      <c r="V22" s="11">
        <v>3</v>
      </c>
      <c r="W22" s="36">
        <f t="shared" si="11"/>
        <v>21.428571428571427</v>
      </c>
      <c r="X22" s="11">
        <v>7</v>
      </c>
      <c r="Y22" s="15" t="s">
        <v>92</v>
      </c>
    </row>
    <row r="23" spans="1:25" x14ac:dyDescent="0.3">
      <c r="A23" s="6" t="s">
        <v>44</v>
      </c>
      <c r="B23" s="23" t="s">
        <v>106</v>
      </c>
      <c r="C23" s="21" t="s">
        <v>59</v>
      </c>
      <c r="D23" s="6">
        <v>1800</v>
      </c>
      <c r="E23" s="6"/>
      <c r="F23" s="6">
        <v>24</v>
      </c>
      <c r="G23" s="6">
        <v>10</v>
      </c>
      <c r="H23" s="6">
        <v>80</v>
      </c>
      <c r="I23" s="6">
        <v>75</v>
      </c>
      <c r="J23" s="6">
        <v>1</v>
      </c>
      <c r="K23" s="6">
        <v>40</v>
      </c>
      <c r="L23" s="6">
        <v>210</v>
      </c>
      <c r="M23" s="9"/>
      <c r="N23" s="11">
        <v>1</v>
      </c>
      <c r="O23" s="11">
        <v>3</v>
      </c>
      <c r="P23" s="36">
        <f t="shared" si="8"/>
        <v>35</v>
      </c>
      <c r="Q23" s="13"/>
      <c r="R23" s="35">
        <f t="shared" si="9"/>
        <v>5.333333333333333</v>
      </c>
      <c r="S23" s="11">
        <v>5</v>
      </c>
      <c r="T23" s="11">
        <v>5</v>
      </c>
      <c r="U23" s="37">
        <f t="shared" si="10"/>
        <v>3.6</v>
      </c>
      <c r="V23" s="11">
        <v>4</v>
      </c>
      <c r="W23" s="36">
        <f t="shared" si="11"/>
        <v>21.428571428571427</v>
      </c>
      <c r="X23" s="11">
        <v>7</v>
      </c>
      <c r="Y23" s="15" t="s">
        <v>92</v>
      </c>
    </row>
    <row r="24" spans="1:25" x14ac:dyDescent="0.3">
      <c r="A24" s="6" t="s">
        <v>44</v>
      </c>
      <c r="B24" s="23" t="s">
        <v>107</v>
      </c>
      <c r="C24" s="21" t="s">
        <v>59</v>
      </c>
      <c r="D24" s="6">
        <v>3000</v>
      </c>
      <c r="E24" s="6"/>
      <c r="F24" s="6">
        <v>24</v>
      </c>
      <c r="G24" s="6">
        <v>10</v>
      </c>
      <c r="H24" s="6">
        <v>30</v>
      </c>
      <c r="I24" s="6">
        <v>88</v>
      </c>
      <c r="J24" s="6">
        <v>1</v>
      </c>
      <c r="K24" s="6">
        <v>42</v>
      </c>
      <c r="L24" s="6">
        <v>235</v>
      </c>
      <c r="M24" s="9"/>
      <c r="N24" s="11">
        <v>1</v>
      </c>
      <c r="O24" s="11">
        <v>3</v>
      </c>
      <c r="P24" s="36">
        <f t="shared" si="8"/>
        <v>35</v>
      </c>
      <c r="Q24" s="13"/>
      <c r="R24" s="35">
        <f t="shared" si="9"/>
        <v>2</v>
      </c>
      <c r="S24" s="11">
        <v>2</v>
      </c>
      <c r="T24" s="11">
        <v>2</v>
      </c>
      <c r="U24" s="37">
        <f t="shared" si="10"/>
        <v>3.95</v>
      </c>
      <c r="V24" s="11">
        <v>4</v>
      </c>
      <c r="W24" s="36">
        <f t="shared" si="11"/>
        <v>25.142857142857142</v>
      </c>
      <c r="X24" s="11">
        <v>8</v>
      </c>
      <c r="Y24" s="15" t="s">
        <v>92</v>
      </c>
    </row>
    <row r="25" spans="1:25" x14ac:dyDescent="0.3">
      <c r="A25" s="6" t="s">
        <v>44</v>
      </c>
      <c r="B25" s="23" t="s">
        <v>108</v>
      </c>
      <c r="C25" s="21" t="s">
        <v>109</v>
      </c>
      <c r="D25" s="6">
        <v>3000</v>
      </c>
      <c r="E25" s="6"/>
      <c r="F25" s="6">
        <v>45</v>
      </c>
      <c r="G25" s="6">
        <v>40</v>
      </c>
      <c r="H25" s="6">
        <v>100</v>
      </c>
      <c r="I25" s="6">
        <v>88</v>
      </c>
      <c r="J25" s="6">
        <v>1</v>
      </c>
      <c r="K25" s="6">
        <v>46</v>
      </c>
      <c r="L25" s="6">
        <v>200</v>
      </c>
      <c r="M25" s="9"/>
      <c r="N25" s="11">
        <v>1</v>
      </c>
      <c r="O25" s="11">
        <v>5</v>
      </c>
      <c r="P25" s="36">
        <f t="shared" si="8"/>
        <v>61.25</v>
      </c>
      <c r="Q25" s="13"/>
      <c r="R25" s="35">
        <f t="shared" si="9"/>
        <v>6.666666666666667</v>
      </c>
      <c r="S25" s="11">
        <v>7</v>
      </c>
      <c r="T25" s="11">
        <v>6</v>
      </c>
      <c r="U25" s="37">
        <f t="shared" si="10"/>
        <v>3.8</v>
      </c>
      <c r="V25" s="11">
        <v>4</v>
      </c>
      <c r="W25" s="36">
        <f t="shared" si="11"/>
        <v>25.142857142857142</v>
      </c>
      <c r="X25" s="11">
        <v>8</v>
      </c>
      <c r="Y25" s="15" t="s">
        <v>92</v>
      </c>
    </row>
    <row r="26" spans="1:25" x14ac:dyDescent="0.3">
      <c r="A26" s="6" t="s">
        <v>44</v>
      </c>
      <c r="B26" s="23" t="s">
        <v>110</v>
      </c>
      <c r="C26" s="21">
        <v>1943</v>
      </c>
      <c r="D26" s="6">
        <v>3000</v>
      </c>
      <c r="E26" s="6"/>
      <c r="F26" s="6">
        <v>65</v>
      </c>
      <c r="G26" s="6">
        <v>50</v>
      </c>
      <c r="H26" s="6">
        <v>200</v>
      </c>
      <c r="I26" s="6">
        <v>88</v>
      </c>
      <c r="J26" s="6">
        <v>1</v>
      </c>
      <c r="K26" s="6">
        <v>30</v>
      </c>
      <c r="L26" s="6">
        <v>150</v>
      </c>
      <c r="M26" s="9"/>
      <c r="N26" s="11">
        <v>1</v>
      </c>
      <c r="O26" s="11">
        <v>7</v>
      </c>
      <c r="P26" s="36">
        <f t="shared" si="8"/>
        <v>86.25</v>
      </c>
      <c r="Q26" s="13"/>
      <c r="R26" s="35">
        <f t="shared" si="9"/>
        <v>13.333333333333334</v>
      </c>
      <c r="S26" s="11">
        <v>13</v>
      </c>
      <c r="T26" s="11">
        <v>13</v>
      </c>
      <c r="U26" s="37">
        <f t="shared" si="10"/>
        <v>2.5</v>
      </c>
      <c r="V26" s="11">
        <v>3</v>
      </c>
      <c r="W26" s="36">
        <f t="shared" si="11"/>
        <v>25.142857142857142</v>
      </c>
      <c r="X26" s="11">
        <v>8</v>
      </c>
      <c r="Y26" s="15" t="s">
        <v>92</v>
      </c>
    </row>
    <row r="27" spans="1:25" x14ac:dyDescent="0.3">
      <c r="A27" s="6" t="s">
        <v>44</v>
      </c>
      <c r="B27" s="23" t="s">
        <v>111</v>
      </c>
      <c r="C27" s="21" t="s">
        <v>109</v>
      </c>
      <c r="D27" s="6">
        <v>2000</v>
      </c>
      <c r="E27" s="6"/>
      <c r="F27" s="6">
        <v>65</v>
      </c>
      <c r="G27" s="6">
        <v>80</v>
      </c>
      <c r="H27" s="6">
        <v>250</v>
      </c>
      <c r="I27" s="6">
        <v>128</v>
      </c>
      <c r="J27" s="6">
        <v>1</v>
      </c>
      <c r="K27" s="6">
        <v>34</v>
      </c>
      <c r="L27" s="6">
        <v>120</v>
      </c>
      <c r="M27" s="9"/>
      <c r="N27" s="11">
        <v>1</v>
      </c>
      <c r="O27" s="11">
        <v>7</v>
      </c>
      <c r="P27" s="36">
        <v>71</v>
      </c>
      <c r="Q27" s="13"/>
      <c r="R27" s="35">
        <f t="shared" si="9"/>
        <v>16.666666666666668</v>
      </c>
      <c r="S27" s="11">
        <v>17</v>
      </c>
      <c r="T27" s="11">
        <v>16</v>
      </c>
      <c r="U27" s="37">
        <f t="shared" si="10"/>
        <v>2.4</v>
      </c>
      <c r="V27" s="11">
        <v>3</v>
      </c>
      <c r="W27" s="36">
        <f t="shared" si="11"/>
        <v>36.571428571428569</v>
      </c>
      <c r="X27" s="11">
        <v>12</v>
      </c>
      <c r="Y27" s="15" t="s">
        <v>92</v>
      </c>
    </row>
    <row r="28" spans="1:25" x14ac:dyDescent="0.3">
      <c r="A28" t="s">
        <v>129</v>
      </c>
      <c r="D28" s="28" t="s">
        <v>90</v>
      </c>
    </row>
    <row r="29" spans="1:25" s="5" customFormat="1" ht="28.8" x14ac:dyDescent="0.3">
      <c r="A29" s="6" t="s">
        <v>44</v>
      </c>
      <c r="B29" s="7" t="s">
        <v>130</v>
      </c>
      <c r="C29" s="7" t="s">
        <v>126</v>
      </c>
      <c r="D29" s="16">
        <v>3000</v>
      </c>
      <c r="E29" s="6">
        <v>20</v>
      </c>
      <c r="F29" s="6">
        <v>7.4</v>
      </c>
      <c r="G29" s="6">
        <v>0</v>
      </c>
      <c r="H29" s="6">
        <v>0</v>
      </c>
      <c r="I29" s="6">
        <v>88</v>
      </c>
      <c r="J29" s="6">
        <v>1</v>
      </c>
      <c r="K29" s="6">
        <v>0</v>
      </c>
      <c r="L29" s="6">
        <v>0</v>
      </c>
      <c r="N29" s="11">
        <v>2</v>
      </c>
      <c r="O29" s="11">
        <v>3</v>
      </c>
      <c r="P29" s="36">
        <f t="shared" ref="P29:P34" si="12">5+F29*3/2.4</f>
        <v>14.250000000000002</v>
      </c>
      <c r="Q29" s="11">
        <v>15</v>
      </c>
      <c r="R29" s="35">
        <f t="shared" ref="R29:R34" si="13">H29/15</f>
        <v>0</v>
      </c>
      <c r="S29" s="11">
        <v>0</v>
      </c>
      <c r="T29" s="11">
        <v>0</v>
      </c>
      <c r="U29" s="37">
        <f t="shared" ref="U29:U34" si="14">(K29-10)/20+L29/100</f>
        <v>-0.5</v>
      </c>
      <c r="V29" s="11">
        <v>1</v>
      </c>
      <c r="W29" s="36">
        <f t="shared" ref="W29:W34" si="15">I29/3.5</f>
        <v>25.142857142857142</v>
      </c>
      <c r="X29" s="11">
        <v>8</v>
      </c>
      <c r="Y29" s="15" t="s">
        <v>131</v>
      </c>
    </row>
    <row r="30" spans="1:25" x14ac:dyDescent="0.3">
      <c r="A30" s="6" t="s">
        <v>44</v>
      </c>
      <c r="B30" s="31" t="s">
        <v>132</v>
      </c>
      <c r="C30" s="31"/>
      <c r="D30" s="6">
        <v>300</v>
      </c>
      <c r="E30" s="6">
        <v>13</v>
      </c>
      <c r="F30" s="6">
        <v>0.3</v>
      </c>
      <c r="G30" s="6">
        <v>0</v>
      </c>
      <c r="H30" s="6">
        <v>0</v>
      </c>
      <c r="I30" s="6">
        <v>37</v>
      </c>
      <c r="J30" s="6">
        <v>1</v>
      </c>
      <c r="K30" s="6">
        <v>0</v>
      </c>
      <c r="L30" s="6">
        <v>0</v>
      </c>
      <c r="M30" s="5"/>
      <c r="N30" s="11">
        <v>1</v>
      </c>
      <c r="O30" s="11"/>
      <c r="P30" s="36">
        <f t="shared" si="12"/>
        <v>5.375</v>
      </c>
      <c r="Q30" s="13"/>
      <c r="R30" s="35">
        <f t="shared" si="13"/>
        <v>0</v>
      </c>
      <c r="S30" s="11"/>
      <c r="T30" s="11"/>
      <c r="U30" s="37">
        <f t="shared" si="14"/>
        <v>-0.5</v>
      </c>
      <c r="V30" s="11"/>
      <c r="W30" s="36">
        <f t="shared" si="15"/>
        <v>10.571428571428571</v>
      </c>
      <c r="X30" s="11"/>
      <c r="Y30" s="15"/>
    </row>
    <row r="31" spans="1:25" ht="57.6" x14ac:dyDescent="0.3">
      <c r="A31" s="106" t="s">
        <v>44</v>
      </c>
      <c r="B31" s="107" t="s">
        <v>133</v>
      </c>
      <c r="C31" s="18" t="s">
        <v>134</v>
      </c>
      <c r="D31" s="16">
        <v>1500</v>
      </c>
      <c r="E31" s="6">
        <v>13</v>
      </c>
      <c r="F31" s="6">
        <v>0.8</v>
      </c>
      <c r="G31" s="6">
        <v>0</v>
      </c>
      <c r="H31" s="6">
        <v>0</v>
      </c>
      <c r="I31" s="6">
        <v>50</v>
      </c>
      <c r="J31" s="6">
        <v>1</v>
      </c>
      <c r="K31" s="6">
        <v>0</v>
      </c>
      <c r="L31" s="6">
        <v>0</v>
      </c>
      <c r="M31" s="5"/>
      <c r="N31" s="11">
        <v>1</v>
      </c>
      <c r="O31" s="11">
        <v>2</v>
      </c>
      <c r="P31" s="36">
        <f t="shared" si="12"/>
        <v>6</v>
      </c>
      <c r="Q31" s="11">
        <v>12</v>
      </c>
      <c r="R31" s="35">
        <f t="shared" si="13"/>
        <v>0</v>
      </c>
      <c r="S31" s="11">
        <v>0</v>
      </c>
      <c r="T31" s="11">
        <v>0</v>
      </c>
      <c r="U31" s="37">
        <f t="shared" si="14"/>
        <v>-0.5</v>
      </c>
      <c r="V31" s="11">
        <v>1</v>
      </c>
      <c r="W31" s="36">
        <f t="shared" si="15"/>
        <v>14.285714285714286</v>
      </c>
      <c r="X31" s="11">
        <v>5</v>
      </c>
      <c r="Y31" s="15" t="s">
        <v>135</v>
      </c>
    </row>
    <row r="32" spans="1:25" x14ac:dyDescent="0.3">
      <c r="A32" s="6" t="s">
        <v>65</v>
      </c>
      <c r="B32" s="7" t="s">
        <v>136</v>
      </c>
      <c r="C32" s="7" t="s">
        <v>119</v>
      </c>
      <c r="D32" s="16">
        <v>2000</v>
      </c>
      <c r="E32" s="6">
        <v>20</v>
      </c>
      <c r="F32" s="6">
        <v>3.6</v>
      </c>
      <c r="G32" s="6">
        <v>0</v>
      </c>
      <c r="H32" s="6">
        <v>0</v>
      </c>
      <c r="I32" s="6">
        <v>76</v>
      </c>
      <c r="J32" s="6">
        <v>1</v>
      </c>
      <c r="K32" s="6">
        <v>0</v>
      </c>
      <c r="L32" s="6">
        <v>0</v>
      </c>
      <c r="M32" s="5"/>
      <c r="N32" s="11">
        <v>2</v>
      </c>
      <c r="O32" s="11">
        <v>3</v>
      </c>
      <c r="P32" s="36">
        <f t="shared" si="12"/>
        <v>9.5</v>
      </c>
      <c r="Q32" s="11">
        <v>15</v>
      </c>
      <c r="R32" s="35">
        <f t="shared" si="13"/>
        <v>0</v>
      </c>
      <c r="S32" s="11">
        <v>0</v>
      </c>
      <c r="T32" s="11">
        <v>0</v>
      </c>
      <c r="U32" s="37">
        <f t="shared" si="14"/>
        <v>-0.5</v>
      </c>
      <c r="V32" s="11">
        <v>1</v>
      </c>
      <c r="W32" s="36">
        <f t="shared" si="15"/>
        <v>21.714285714285715</v>
      </c>
      <c r="X32" s="11">
        <v>7</v>
      </c>
      <c r="Y32" s="15" t="s">
        <v>137</v>
      </c>
    </row>
    <row r="33" spans="1:25" ht="57.6" x14ac:dyDescent="0.3">
      <c r="A33" s="6" t="s">
        <v>65</v>
      </c>
      <c r="B33" s="7" t="s">
        <v>138</v>
      </c>
      <c r="C33" s="7" t="s">
        <v>139</v>
      </c>
      <c r="D33" s="6">
        <v>1600</v>
      </c>
      <c r="E33" s="6">
        <v>20</v>
      </c>
      <c r="F33" s="6">
        <v>0.5</v>
      </c>
      <c r="G33" s="6">
        <v>0</v>
      </c>
      <c r="H33" s="6">
        <v>0</v>
      </c>
      <c r="I33" s="6">
        <v>45</v>
      </c>
      <c r="J33" s="6">
        <v>1</v>
      </c>
      <c r="K33" s="6">
        <v>0</v>
      </c>
      <c r="L33" s="6">
        <v>0</v>
      </c>
      <c r="M33" s="5"/>
      <c r="N33" s="11">
        <v>1</v>
      </c>
      <c r="O33" s="11">
        <v>2</v>
      </c>
      <c r="P33" s="36">
        <f t="shared" si="12"/>
        <v>5.625</v>
      </c>
      <c r="Q33" s="11">
        <v>10</v>
      </c>
      <c r="R33" s="35">
        <f t="shared" si="13"/>
        <v>0</v>
      </c>
      <c r="S33" s="11">
        <v>0</v>
      </c>
      <c r="T33" s="11">
        <v>0</v>
      </c>
      <c r="U33" s="37">
        <f t="shared" si="14"/>
        <v>-0.5</v>
      </c>
      <c r="V33" s="11">
        <v>1</v>
      </c>
      <c r="W33" s="36">
        <f t="shared" si="15"/>
        <v>12.857142857142858</v>
      </c>
      <c r="X33" s="11">
        <v>4</v>
      </c>
      <c r="Y33" s="15" t="s">
        <v>135</v>
      </c>
    </row>
    <row r="34" spans="1:25" ht="57.6" x14ac:dyDescent="0.3">
      <c r="A34" s="6" t="s">
        <v>65</v>
      </c>
      <c r="B34" s="32" t="s">
        <v>140</v>
      </c>
      <c r="C34" s="18" t="s">
        <v>141</v>
      </c>
      <c r="D34" s="16">
        <v>3000</v>
      </c>
      <c r="E34" s="6">
        <v>10</v>
      </c>
      <c r="F34" s="6">
        <v>1.3</v>
      </c>
      <c r="G34" s="6">
        <v>0</v>
      </c>
      <c r="H34" s="6">
        <v>0</v>
      </c>
      <c r="I34" s="6">
        <v>57</v>
      </c>
      <c r="J34" s="6">
        <v>1</v>
      </c>
      <c r="K34" s="6">
        <v>0</v>
      </c>
      <c r="L34" s="6">
        <v>0</v>
      </c>
      <c r="M34" s="5"/>
      <c r="N34" s="11">
        <v>2</v>
      </c>
      <c r="O34" s="11">
        <v>4</v>
      </c>
      <c r="P34" s="36">
        <f t="shared" si="12"/>
        <v>6.625</v>
      </c>
      <c r="Q34" s="11">
        <v>11</v>
      </c>
      <c r="R34" s="35">
        <f t="shared" si="13"/>
        <v>0</v>
      </c>
      <c r="S34" s="11">
        <v>0</v>
      </c>
      <c r="T34" s="11">
        <v>0</v>
      </c>
      <c r="U34" s="37">
        <f t="shared" si="14"/>
        <v>-0.5</v>
      </c>
      <c r="V34" s="11">
        <v>1</v>
      </c>
      <c r="W34" s="36">
        <f t="shared" si="15"/>
        <v>16.285714285714285</v>
      </c>
      <c r="X34" s="11">
        <v>5</v>
      </c>
      <c r="Y34" s="15" t="s">
        <v>135</v>
      </c>
    </row>
    <row r="35" spans="1:25" ht="57.6" x14ac:dyDescent="0.3">
      <c r="A35" s="109" t="s">
        <v>27</v>
      </c>
      <c r="B35" s="110" t="s">
        <v>450</v>
      </c>
      <c r="C35" s="18" t="s">
        <v>141</v>
      </c>
      <c r="D35" s="16">
        <v>1510</v>
      </c>
      <c r="E35" s="6">
        <v>15</v>
      </c>
      <c r="F35" s="6">
        <v>1.1399999999999999</v>
      </c>
      <c r="G35" s="6">
        <v>0</v>
      </c>
      <c r="H35" s="6">
        <v>0</v>
      </c>
      <c r="I35" s="6">
        <v>57</v>
      </c>
      <c r="J35" s="6">
        <v>1</v>
      </c>
      <c r="K35" s="6">
        <v>0</v>
      </c>
      <c r="L35" s="6">
        <v>0</v>
      </c>
      <c r="M35" s="5"/>
      <c r="N35" s="11">
        <v>1</v>
      </c>
      <c r="O35" s="11">
        <v>2</v>
      </c>
      <c r="P35" s="36">
        <f t="shared" ref="P35" si="16">5+F35*3/2.4</f>
        <v>6.4249999999999998</v>
      </c>
      <c r="Q35" s="11">
        <v>10</v>
      </c>
      <c r="R35" s="35">
        <f t="shared" ref="R35" si="17">H35/15</f>
        <v>0</v>
      </c>
      <c r="S35" s="11">
        <v>0</v>
      </c>
      <c r="T35" s="11">
        <v>0</v>
      </c>
      <c r="U35" s="37">
        <f t="shared" ref="U35" si="18">(K35-10)/20+L35/100</f>
        <v>-0.5</v>
      </c>
      <c r="V35" s="11">
        <v>1</v>
      </c>
      <c r="W35" s="36">
        <f t="shared" ref="W35" si="19">I35/3.5</f>
        <v>16.285714285714285</v>
      </c>
      <c r="X35" s="11">
        <v>5</v>
      </c>
      <c r="Y35" s="15" t="s">
        <v>135</v>
      </c>
    </row>
    <row r="36" spans="1:25" ht="57.6" x14ac:dyDescent="0.3">
      <c r="A36" s="6" t="s">
        <v>27</v>
      </c>
      <c r="B36" s="7" t="s">
        <v>463</v>
      </c>
      <c r="C36" s="18" t="s">
        <v>464</v>
      </c>
      <c r="D36" s="16">
        <v>3000</v>
      </c>
      <c r="E36" s="16">
        <v>15</v>
      </c>
      <c r="F36" s="6">
        <v>3</v>
      </c>
      <c r="G36" s="6">
        <v>0</v>
      </c>
      <c r="H36" s="6">
        <v>0</v>
      </c>
      <c r="I36" s="6">
        <v>76.2</v>
      </c>
      <c r="J36" s="6">
        <v>1</v>
      </c>
      <c r="K36" s="6">
        <v>0</v>
      </c>
      <c r="L36" s="6">
        <v>0</v>
      </c>
      <c r="M36" s="5"/>
      <c r="N36" s="11">
        <v>2</v>
      </c>
      <c r="O36" s="11">
        <v>2</v>
      </c>
      <c r="P36" s="36">
        <f t="shared" ref="P36" si="20">5+F36*3/2.4</f>
        <v>8.75</v>
      </c>
      <c r="Q36" s="11">
        <v>14</v>
      </c>
      <c r="R36" s="35">
        <f t="shared" ref="R36" si="21">H36/15</f>
        <v>0</v>
      </c>
      <c r="S36" s="11">
        <v>0</v>
      </c>
      <c r="T36" s="11">
        <v>0</v>
      </c>
      <c r="U36" s="37">
        <f t="shared" ref="U36" si="22">(K36-10)/20+L36/100</f>
        <v>-0.5</v>
      </c>
      <c r="V36" s="11">
        <v>1</v>
      </c>
      <c r="W36" s="36">
        <f t="shared" ref="W36" si="23">I36/3.5</f>
        <v>21.771428571428572</v>
      </c>
      <c r="X36" s="11">
        <v>7</v>
      </c>
      <c r="Y36" s="15" t="s">
        <v>135</v>
      </c>
    </row>
  </sheetData>
  <pageMargins left="0.7" right="0.7" top="1.14375" bottom="1.143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255CB-ACB3-4748-9FE1-30BBCD5EC771}">
  <dimension ref="A1:Y79"/>
  <sheetViews>
    <sheetView zoomScaleNormal="100" workbookViewId="0">
      <pane xSplit="2" ySplit="1" topLeftCell="C15" activePane="bottomRight" state="frozen"/>
      <selection pane="topRight" activeCell="C1" sqref="C1"/>
      <selection pane="bottomLeft" activeCell="A14" sqref="A14"/>
      <selection pane="bottomRight" activeCell="G23" sqref="G23"/>
    </sheetView>
  </sheetViews>
  <sheetFormatPr defaultRowHeight="14.4" x14ac:dyDescent="0.3"/>
  <cols>
    <col min="1" max="1" width="9.109375" customWidth="1"/>
    <col min="2" max="2" width="24.44140625" customWidth="1"/>
    <col min="3" max="5" width="11.5546875" customWidth="1"/>
    <col min="6" max="12" width="9.109375" customWidth="1"/>
    <col min="13" max="13" width="11.33203125" customWidth="1"/>
    <col min="14" max="15" width="9.109375" customWidth="1"/>
    <col min="16" max="16" width="9.33203125" customWidth="1"/>
    <col min="17" max="24" width="9.109375" customWidth="1"/>
    <col min="25" max="25" width="49.109375" customWidth="1"/>
    <col min="26" max="1025" width="9.109375" customWidth="1"/>
  </cols>
  <sheetData>
    <row r="1" spans="1:25" s="5" customFormat="1" ht="57.6" x14ac:dyDescent="0.3">
      <c r="A1" s="1"/>
      <c r="B1" s="2"/>
      <c r="C1" s="3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1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1" t="s">
        <v>11</v>
      </c>
      <c r="O1" s="1" t="s">
        <v>12</v>
      </c>
      <c r="P1" s="4" t="s">
        <v>13</v>
      </c>
      <c r="Q1" s="1" t="s">
        <v>14</v>
      </c>
      <c r="R1" s="4" t="s">
        <v>15</v>
      </c>
      <c r="S1" s="1" t="s">
        <v>16</v>
      </c>
      <c r="T1" s="1" t="s">
        <v>17</v>
      </c>
      <c r="U1" s="4" t="s">
        <v>18</v>
      </c>
      <c r="V1" s="1" t="s">
        <v>19</v>
      </c>
      <c r="W1" s="4" t="s">
        <v>20</v>
      </c>
      <c r="X1" s="1" t="s">
        <v>21</v>
      </c>
      <c r="Y1" s="1" t="s">
        <v>22</v>
      </c>
    </row>
    <row r="2" spans="1:25" x14ac:dyDescent="0.3">
      <c r="A2" t="s">
        <v>23</v>
      </c>
    </row>
    <row r="4" spans="1:25" x14ac:dyDescent="0.3">
      <c r="A4" s="106" t="s">
        <v>24</v>
      </c>
      <c r="B4" s="107" t="s">
        <v>346</v>
      </c>
      <c r="C4" s="7" t="s">
        <v>347</v>
      </c>
      <c r="D4" s="6">
        <v>500</v>
      </c>
      <c r="E4" s="6"/>
      <c r="F4" s="6">
        <v>3.4</v>
      </c>
      <c r="G4" s="6">
        <v>8</v>
      </c>
      <c r="H4" s="6">
        <v>12</v>
      </c>
      <c r="I4" s="6">
        <v>6.5</v>
      </c>
      <c r="J4" s="6">
        <v>1</v>
      </c>
      <c r="K4" s="6">
        <v>40</v>
      </c>
      <c r="L4" s="8">
        <v>200</v>
      </c>
      <c r="M4" s="9"/>
      <c r="N4" s="10">
        <v>1</v>
      </c>
      <c r="O4" s="11">
        <v>2</v>
      </c>
      <c r="P4" s="12">
        <f t="shared" ref="P4:P14" si="0">5+F4*3/2.4</f>
        <v>9.25</v>
      </c>
      <c r="Q4" s="13"/>
      <c r="R4" s="14">
        <f t="shared" ref="R4:R14" si="1">H4/15</f>
        <v>0.8</v>
      </c>
      <c r="S4" s="11">
        <v>1</v>
      </c>
      <c r="T4" s="11">
        <v>1</v>
      </c>
      <c r="U4" s="9">
        <f t="shared" ref="U4:U14" si="2">(K4-10)/20+L4/100</f>
        <v>3.5</v>
      </c>
      <c r="V4" s="11">
        <v>4</v>
      </c>
      <c r="W4" s="12">
        <f t="shared" ref="W4:W14" si="3">I4/3.5</f>
        <v>1.8571428571428572</v>
      </c>
      <c r="X4" s="13"/>
      <c r="Y4" s="15" t="s">
        <v>348</v>
      </c>
    </row>
    <row r="5" spans="1:25" x14ac:dyDescent="0.3">
      <c r="A5" s="106" t="s">
        <v>24</v>
      </c>
      <c r="B5" s="107" t="s">
        <v>25</v>
      </c>
      <c r="C5" s="7"/>
      <c r="D5" s="16">
        <v>2000</v>
      </c>
      <c r="E5" s="6"/>
      <c r="F5" s="6">
        <v>7.4</v>
      </c>
      <c r="G5" s="6">
        <v>7</v>
      </c>
      <c r="H5" s="6">
        <v>12</v>
      </c>
      <c r="I5" s="6">
        <v>37</v>
      </c>
      <c r="J5" s="6">
        <v>1</v>
      </c>
      <c r="K5" s="6">
        <v>45</v>
      </c>
      <c r="L5" s="8">
        <v>209</v>
      </c>
      <c r="M5" s="9"/>
      <c r="N5" s="10">
        <v>1</v>
      </c>
      <c r="O5" s="11">
        <v>2</v>
      </c>
      <c r="P5" s="12">
        <f t="shared" si="0"/>
        <v>14.250000000000002</v>
      </c>
      <c r="Q5" s="13"/>
      <c r="R5" s="14">
        <f t="shared" si="1"/>
        <v>0.8</v>
      </c>
      <c r="S5" s="11">
        <v>1</v>
      </c>
      <c r="T5" s="11">
        <v>1</v>
      </c>
      <c r="U5" s="9">
        <f t="shared" si="2"/>
        <v>3.84</v>
      </c>
      <c r="V5" s="11">
        <v>4</v>
      </c>
      <c r="W5" s="12">
        <f t="shared" si="3"/>
        <v>10.571428571428571</v>
      </c>
      <c r="X5" s="13"/>
      <c r="Y5" s="15"/>
    </row>
    <row r="6" spans="1:25" x14ac:dyDescent="0.3">
      <c r="A6" s="6" t="s">
        <v>24</v>
      </c>
      <c r="B6" s="7" t="s">
        <v>349</v>
      </c>
      <c r="C6" s="7">
        <v>1928</v>
      </c>
      <c r="D6" s="16">
        <v>1500</v>
      </c>
      <c r="E6" s="6"/>
      <c r="F6" s="6">
        <v>13</v>
      </c>
      <c r="G6" s="6">
        <v>6</v>
      </c>
      <c r="H6" s="6">
        <v>17</v>
      </c>
      <c r="I6" s="16">
        <v>40</v>
      </c>
      <c r="J6" s="6">
        <v>1</v>
      </c>
      <c r="K6" s="6">
        <v>26</v>
      </c>
      <c r="L6" s="8">
        <v>170</v>
      </c>
      <c r="M6" s="9"/>
      <c r="N6" s="10">
        <v>1</v>
      </c>
      <c r="O6" s="11">
        <v>3</v>
      </c>
      <c r="P6" s="12">
        <f t="shared" si="0"/>
        <v>21.25</v>
      </c>
      <c r="Q6" s="13"/>
      <c r="R6" s="14">
        <f t="shared" si="1"/>
        <v>1.1333333333333333</v>
      </c>
      <c r="S6" s="11">
        <v>1</v>
      </c>
      <c r="T6" s="11">
        <v>1</v>
      </c>
      <c r="U6" s="9">
        <f t="shared" si="2"/>
        <v>2.5</v>
      </c>
      <c r="V6" s="11">
        <v>3</v>
      </c>
      <c r="W6" s="12">
        <f t="shared" si="3"/>
        <v>11.428571428571429</v>
      </c>
      <c r="X6" s="13"/>
      <c r="Y6" s="15"/>
    </row>
    <row r="7" spans="1:25" x14ac:dyDescent="0.3">
      <c r="A7" s="6" t="s">
        <v>24</v>
      </c>
      <c r="B7" s="78" t="s">
        <v>350</v>
      </c>
      <c r="C7" s="78" t="s">
        <v>351</v>
      </c>
      <c r="D7" s="16">
        <v>1500</v>
      </c>
      <c r="E7" s="6"/>
      <c r="F7" s="6">
        <v>15</v>
      </c>
      <c r="G7" s="6">
        <v>8</v>
      </c>
      <c r="H7" s="6">
        <v>25</v>
      </c>
      <c r="I7" s="16">
        <v>40</v>
      </c>
      <c r="J7" s="6">
        <v>1</v>
      </c>
      <c r="K7" s="6">
        <v>38</v>
      </c>
      <c r="L7" s="8">
        <v>210</v>
      </c>
      <c r="M7" s="9"/>
      <c r="N7" s="10">
        <v>1</v>
      </c>
      <c r="O7" s="11">
        <v>4</v>
      </c>
      <c r="P7" s="12">
        <f t="shared" si="0"/>
        <v>23.75</v>
      </c>
      <c r="Q7" s="13"/>
      <c r="R7" s="14">
        <f t="shared" si="1"/>
        <v>1.6666666666666667</v>
      </c>
      <c r="S7" s="11">
        <v>1</v>
      </c>
      <c r="T7" s="11">
        <v>2</v>
      </c>
      <c r="U7" s="9">
        <f t="shared" si="2"/>
        <v>3.5</v>
      </c>
      <c r="V7" s="11">
        <v>4</v>
      </c>
      <c r="W7" s="12">
        <f t="shared" si="3"/>
        <v>11.428571428571429</v>
      </c>
      <c r="X7" s="13"/>
      <c r="Y7" s="15"/>
    </row>
    <row r="8" spans="1:25" x14ac:dyDescent="0.3">
      <c r="A8" s="6" t="s">
        <v>24</v>
      </c>
      <c r="B8" s="78" t="s">
        <v>354</v>
      </c>
      <c r="C8" s="78" t="s">
        <v>38</v>
      </c>
      <c r="D8" s="16">
        <v>1500</v>
      </c>
      <c r="E8" s="6"/>
      <c r="F8" s="6">
        <v>16</v>
      </c>
      <c r="G8" s="6">
        <v>20</v>
      </c>
      <c r="H8" s="6">
        <v>33</v>
      </c>
      <c r="I8" s="6">
        <v>47</v>
      </c>
      <c r="J8" s="6">
        <v>1</v>
      </c>
      <c r="K8" s="6">
        <v>38</v>
      </c>
      <c r="L8" s="8">
        <v>210</v>
      </c>
      <c r="M8" s="9"/>
      <c r="N8" s="10">
        <v>1</v>
      </c>
      <c r="O8" s="11">
        <v>4</v>
      </c>
      <c r="P8" s="12">
        <f t="shared" si="0"/>
        <v>25</v>
      </c>
      <c r="Q8" s="13"/>
      <c r="R8" s="14">
        <f t="shared" si="1"/>
        <v>2.2000000000000002</v>
      </c>
      <c r="S8" s="11">
        <v>2</v>
      </c>
      <c r="T8" s="11">
        <v>3</v>
      </c>
      <c r="U8" s="9">
        <f t="shared" si="2"/>
        <v>3.5</v>
      </c>
      <c r="V8" s="11">
        <v>4</v>
      </c>
      <c r="W8" s="12">
        <f t="shared" si="3"/>
        <v>13.428571428571429</v>
      </c>
      <c r="X8" s="13"/>
      <c r="Y8" s="15"/>
    </row>
    <row r="9" spans="1:25" x14ac:dyDescent="0.3">
      <c r="A9" s="6" t="s">
        <v>24</v>
      </c>
      <c r="B9" s="78" t="s">
        <v>355</v>
      </c>
      <c r="C9" s="20" t="s">
        <v>84</v>
      </c>
      <c r="D9" s="16">
        <v>1500</v>
      </c>
      <c r="E9" s="6"/>
      <c r="F9" s="6">
        <v>17.2</v>
      </c>
      <c r="G9" s="6">
        <v>20</v>
      </c>
      <c r="H9" s="6">
        <v>50</v>
      </c>
      <c r="I9" s="6">
        <v>47</v>
      </c>
      <c r="J9" s="6">
        <v>1</v>
      </c>
      <c r="K9" s="6">
        <v>44</v>
      </c>
      <c r="L9" s="8">
        <v>210</v>
      </c>
      <c r="M9" s="9"/>
      <c r="N9" s="10">
        <v>1</v>
      </c>
      <c r="O9" s="11">
        <v>4</v>
      </c>
      <c r="P9" s="12">
        <f t="shared" si="0"/>
        <v>26.5</v>
      </c>
      <c r="Q9" s="13"/>
      <c r="R9" s="14">
        <f t="shared" si="1"/>
        <v>3.3333333333333335</v>
      </c>
      <c r="S9" s="11">
        <v>3</v>
      </c>
      <c r="T9" s="11">
        <v>4</v>
      </c>
      <c r="U9" s="9">
        <f t="shared" si="2"/>
        <v>3.8</v>
      </c>
      <c r="V9" s="11">
        <v>4</v>
      </c>
      <c r="W9" s="12">
        <f t="shared" si="3"/>
        <v>13.428571428571429</v>
      </c>
      <c r="X9" s="13"/>
      <c r="Y9" s="15"/>
    </row>
    <row r="10" spans="1:25" x14ac:dyDescent="0.3">
      <c r="A10" s="6" t="s">
        <v>24</v>
      </c>
      <c r="B10" s="78" t="s">
        <v>352</v>
      </c>
      <c r="C10" s="20" t="s">
        <v>109</v>
      </c>
      <c r="D10" s="16">
        <v>2000</v>
      </c>
      <c r="E10" s="6"/>
      <c r="F10" s="6">
        <v>19</v>
      </c>
      <c r="G10" s="6">
        <v>20</v>
      </c>
      <c r="H10" s="6">
        <v>50</v>
      </c>
      <c r="I10" s="6">
        <v>75</v>
      </c>
      <c r="J10" s="6">
        <v>1</v>
      </c>
      <c r="K10" s="6">
        <v>39</v>
      </c>
      <c r="L10" s="8">
        <v>210</v>
      </c>
      <c r="M10" s="9"/>
      <c r="N10" s="10">
        <v>1</v>
      </c>
      <c r="O10" s="11">
        <v>4</v>
      </c>
      <c r="P10" s="12">
        <f t="shared" si="0"/>
        <v>28.75</v>
      </c>
      <c r="Q10" s="13"/>
      <c r="R10" s="14">
        <f t="shared" si="1"/>
        <v>3.3333333333333335</v>
      </c>
      <c r="S10" s="11">
        <v>3</v>
      </c>
      <c r="T10" s="11">
        <v>4</v>
      </c>
      <c r="U10" s="9">
        <f t="shared" si="2"/>
        <v>3.55</v>
      </c>
      <c r="V10" s="11">
        <v>4</v>
      </c>
      <c r="W10" s="12">
        <f t="shared" si="3"/>
        <v>21.428571428571427</v>
      </c>
      <c r="X10" s="13"/>
      <c r="Y10" s="15"/>
    </row>
    <row r="11" spans="1:25" ht="28.8" x14ac:dyDescent="0.3">
      <c r="A11" s="6" t="s">
        <v>24</v>
      </c>
      <c r="B11" s="78" t="s">
        <v>353</v>
      </c>
      <c r="C11" s="18" t="s">
        <v>70</v>
      </c>
      <c r="D11" s="16">
        <v>2000</v>
      </c>
      <c r="E11" s="6"/>
      <c r="F11" s="6">
        <v>12.3</v>
      </c>
      <c r="G11" s="6">
        <v>6</v>
      </c>
      <c r="H11" s="6">
        <v>12</v>
      </c>
      <c r="I11" s="6">
        <v>37</v>
      </c>
      <c r="J11" s="6">
        <v>1</v>
      </c>
      <c r="K11" s="6">
        <v>37</v>
      </c>
      <c r="L11" s="8">
        <v>170</v>
      </c>
      <c r="M11" s="9"/>
      <c r="N11" s="10">
        <v>1</v>
      </c>
      <c r="O11" s="11">
        <v>4</v>
      </c>
      <c r="P11" s="12">
        <f t="shared" si="0"/>
        <v>20.375000000000004</v>
      </c>
      <c r="Q11" s="13"/>
      <c r="R11" s="14">
        <f t="shared" si="1"/>
        <v>0.8</v>
      </c>
      <c r="S11" s="11">
        <v>1</v>
      </c>
      <c r="T11" s="11">
        <v>1</v>
      </c>
      <c r="U11" s="9">
        <f t="shared" si="2"/>
        <v>3.05</v>
      </c>
      <c r="V11" s="11">
        <v>4</v>
      </c>
      <c r="W11" s="12">
        <f t="shared" si="3"/>
        <v>10.571428571428571</v>
      </c>
      <c r="X11" s="77"/>
      <c r="Y11" s="15"/>
    </row>
    <row r="12" spans="1:25" x14ac:dyDescent="0.3">
      <c r="A12" s="6" t="s">
        <v>24</v>
      </c>
      <c r="B12" s="78" t="s">
        <v>363</v>
      </c>
      <c r="C12" s="20" t="s">
        <v>84</v>
      </c>
      <c r="D12" s="16">
        <v>2000</v>
      </c>
      <c r="E12" s="6"/>
      <c r="F12" s="6">
        <v>30</v>
      </c>
      <c r="G12" s="6">
        <v>12</v>
      </c>
      <c r="H12" s="6">
        <v>75</v>
      </c>
      <c r="I12" s="6">
        <v>75</v>
      </c>
      <c r="J12" s="6">
        <v>1</v>
      </c>
      <c r="K12" s="6">
        <v>45</v>
      </c>
      <c r="L12" s="8">
        <v>250</v>
      </c>
      <c r="M12" s="9"/>
      <c r="N12" s="10">
        <v>1</v>
      </c>
      <c r="O12" s="11">
        <v>4</v>
      </c>
      <c r="P12" s="12">
        <f t="shared" si="0"/>
        <v>42.5</v>
      </c>
      <c r="Q12" s="13"/>
      <c r="R12" s="14">
        <f t="shared" si="1"/>
        <v>5</v>
      </c>
      <c r="S12" s="11">
        <v>4</v>
      </c>
      <c r="T12" s="11">
        <v>4</v>
      </c>
      <c r="U12" s="9">
        <f t="shared" si="2"/>
        <v>4.25</v>
      </c>
      <c r="V12" s="11">
        <v>4</v>
      </c>
      <c r="W12" s="12">
        <f t="shared" si="3"/>
        <v>21.428571428571427</v>
      </c>
      <c r="X12" s="13"/>
      <c r="Y12" s="15"/>
    </row>
    <row r="13" spans="1:25" x14ac:dyDescent="0.3">
      <c r="A13" s="6" t="s">
        <v>24</v>
      </c>
      <c r="B13" s="78" t="s">
        <v>364</v>
      </c>
      <c r="C13" s="20" t="s">
        <v>84</v>
      </c>
      <c r="D13" s="16">
        <v>2000</v>
      </c>
      <c r="E13" s="6"/>
      <c r="F13" s="6">
        <v>37</v>
      </c>
      <c r="G13" s="6">
        <v>25</v>
      </c>
      <c r="H13" s="6">
        <v>75</v>
      </c>
      <c r="I13" s="6">
        <v>75</v>
      </c>
      <c r="J13" s="6">
        <v>1</v>
      </c>
      <c r="K13" s="6">
        <v>45</v>
      </c>
      <c r="L13" s="8">
        <v>250</v>
      </c>
      <c r="M13" s="9"/>
      <c r="N13" s="10">
        <v>1</v>
      </c>
      <c r="O13" s="11">
        <v>5</v>
      </c>
      <c r="P13" s="12">
        <f t="shared" si="0"/>
        <v>51.25</v>
      </c>
      <c r="Q13" s="13"/>
      <c r="R13" s="14">
        <f t="shared" si="1"/>
        <v>5</v>
      </c>
      <c r="S13" s="11">
        <v>5</v>
      </c>
      <c r="T13" s="11">
        <v>5</v>
      </c>
      <c r="U13" s="9">
        <f t="shared" si="2"/>
        <v>4.25</v>
      </c>
      <c r="V13" s="11">
        <v>4</v>
      </c>
      <c r="W13" s="12">
        <f t="shared" si="3"/>
        <v>21.428571428571427</v>
      </c>
      <c r="X13" s="13"/>
      <c r="Y13" s="15"/>
    </row>
    <row r="14" spans="1:25" x14ac:dyDescent="0.3">
      <c r="A14" s="6" t="s">
        <v>24</v>
      </c>
      <c r="B14" s="78" t="s">
        <v>365</v>
      </c>
      <c r="C14" s="20">
        <v>1943</v>
      </c>
      <c r="D14" s="16">
        <v>2000</v>
      </c>
      <c r="E14" s="6"/>
      <c r="F14" s="6">
        <v>120</v>
      </c>
      <c r="G14" s="16">
        <v>50</v>
      </c>
      <c r="H14" s="6">
        <v>200</v>
      </c>
      <c r="I14" s="6">
        <v>105</v>
      </c>
      <c r="J14" s="6">
        <v>1</v>
      </c>
      <c r="K14" s="6">
        <v>25</v>
      </c>
      <c r="L14" s="19">
        <v>120</v>
      </c>
      <c r="M14" s="9"/>
      <c r="N14" s="10">
        <v>2</v>
      </c>
      <c r="O14" s="11">
        <v>8</v>
      </c>
      <c r="P14" s="12">
        <f t="shared" si="0"/>
        <v>155</v>
      </c>
      <c r="Q14" s="13"/>
      <c r="R14" s="14">
        <f t="shared" si="1"/>
        <v>13.333333333333334</v>
      </c>
      <c r="S14" s="11">
        <v>13</v>
      </c>
      <c r="T14" s="11">
        <v>14</v>
      </c>
      <c r="U14" s="9">
        <f t="shared" si="2"/>
        <v>1.95</v>
      </c>
      <c r="V14" s="11">
        <v>2</v>
      </c>
      <c r="W14" s="12">
        <f t="shared" si="3"/>
        <v>30</v>
      </c>
      <c r="X14" s="13"/>
      <c r="Y14" s="15"/>
    </row>
    <row r="15" spans="1:25" x14ac:dyDescent="0.3">
      <c r="A15" s="77"/>
      <c r="B15" s="78"/>
      <c r="C15" s="78"/>
      <c r="D15" s="77"/>
      <c r="E15" s="77"/>
      <c r="F15" s="77"/>
      <c r="G15" s="77"/>
      <c r="H15" s="77"/>
      <c r="I15" s="77"/>
      <c r="J15" s="77"/>
      <c r="K15" s="77"/>
      <c r="L15" s="77"/>
      <c r="M15" s="79"/>
      <c r="N15" s="77"/>
      <c r="O15" s="11"/>
      <c r="P15" s="80"/>
      <c r="Q15" s="77"/>
      <c r="R15" s="81"/>
      <c r="S15" s="11"/>
      <c r="T15" s="11"/>
      <c r="U15" s="79"/>
      <c r="V15" s="11"/>
      <c r="W15" s="80"/>
      <c r="X15" s="77"/>
      <c r="Y15" s="15"/>
    </row>
    <row r="17" spans="1:25" x14ac:dyDescent="0.3">
      <c r="A17" s="108" t="s">
        <v>27</v>
      </c>
      <c r="B17" s="108" t="s">
        <v>28</v>
      </c>
      <c r="C17" s="7" t="s">
        <v>417</v>
      </c>
      <c r="D17" s="6">
        <v>1000</v>
      </c>
      <c r="E17" s="6"/>
      <c r="F17" s="6">
        <v>14</v>
      </c>
      <c r="G17" s="6">
        <v>6</v>
      </c>
      <c r="H17" s="6">
        <v>30</v>
      </c>
      <c r="I17" s="6">
        <v>40</v>
      </c>
      <c r="J17" s="6">
        <v>1</v>
      </c>
      <c r="K17" s="6">
        <v>26</v>
      </c>
      <c r="L17" s="8">
        <v>160</v>
      </c>
      <c r="M17" s="9"/>
      <c r="N17" s="10">
        <v>1</v>
      </c>
      <c r="O17" s="11">
        <v>3</v>
      </c>
      <c r="P17" s="12">
        <f t="shared" ref="P17:P25" si="4">5+F17*3/2.4</f>
        <v>22.5</v>
      </c>
      <c r="Q17" s="13">
        <v>17</v>
      </c>
      <c r="R17" s="14">
        <f t="shared" ref="R17:R25" si="5">H17/15</f>
        <v>2</v>
      </c>
      <c r="S17" s="11">
        <v>3</v>
      </c>
      <c r="T17" s="11">
        <v>2</v>
      </c>
      <c r="U17" s="9">
        <f t="shared" ref="U17:U25" si="6">(K17-10)/20+L17/100</f>
        <v>2.4000000000000004</v>
      </c>
      <c r="V17" s="11">
        <v>3</v>
      </c>
      <c r="W17" s="12">
        <f t="shared" ref="W17:W25" si="7">I17/3.5</f>
        <v>11.428571428571429</v>
      </c>
      <c r="X17" s="13">
        <v>13</v>
      </c>
      <c r="Y17" s="15" t="s">
        <v>31</v>
      </c>
    </row>
    <row r="18" spans="1:25" ht="28.8" x14ac:dyDescent="0.3">
      <c r="A18" s="6" t="s">
        <v>27</v>
      </c>
      <c r="B18" s="7" t="s">
        <v>461</v>
      </c>
      <c r="C18" s="18" t="s">
        <v>281</v>
      </c>
      <c r="D18" s="6">
        <v>1000</v>
      </c>
      <c r="E18" s="6"/>
      <c r="F18" s="6">
        <v>16</v>
      </c>
      <c r="G18" s="6">
        <v>8</v>
      </c>
      <c r="H18" s="6">
        <v>65</v>
      </c>
      <c r="I18" s="6">
        <v>40</v>
      </c>
      <c r="J18" s="6">
        <v>1</v>
      </c>
      <c r="K18" s="6">
        <v>24</v>
      </c>
      <c r="L18" s="8">
        <v>140</v>
      </c>
      <c r="M18" s="9"/>
      <c r="N18" s="10">
        <v>1</v>
      </c>
      <c r="O18" s="11">
        <v>3</v>
      </c>
      <c r="P18" s="12">
        <f t="shared" si="4"/>
        <v>25</v>
      </c>
      <c r="Q18" s="13"/>
      <c r="R18" s="14">
        <f t="shared" si="5"/>
        <v>4.333333333333333</v>
      </c>
      <c r="S18" s="11">
        <v>4</v>
      </c>
      <c r="T18" s="11">
        <v>4</v>
      </c>
      <c r="U18" s="9">
        <f t="shared" si="6"/>
        <v>2.0999999999999996</v>
      </c>
      <c r="V18" s="11">
        <v>3</v>
      </c>
      <c r="W18" s="12">
        <f t="shared" si="7"/>
        <v>11.428571428571429</v>
      </c>
      <c r="X18" s="13"/>
      <c r="Y18" s="15"/>
    </row>
    <row r="19" spans="1:25" ht="28.8" x14ac:dyDescent="0.3">
      <c r="A19" s="6" t="s">
        <v>27</v>
      </c>
      <c r="B19" s="7" t="s">
        <v>462</v>
      </c>
      <c r="C19" s="18" t="s">
        <v>281</v>
      </c>
      <c r="D19" s="6">
        <v>1000</v>
      </c>
      <c r="E19" s="6"/>
      <c r="F19" s="6">
        <v>16</v>
      </c>
      <c r="G19" s="6">
        <v>8</v>
      </c>
      <c r="H19" s="6">
        <v>65</v>
      </c>
      <c r="I19" s="6">
        <v>57</v>
      </c>
      <c r="J19" s="6">
        <v>1</v>
      </c>
      <c r="K19" s="6">
        <v>24</v>
      </c>
      <c r="L19" s="8">
        <v>140</v>
      </c>
      <c r="M19" s="9"/>
      <c r="N19" s="10">
        <v>1</v>
      </c>
      <c r="O19" s="11">
        <v>3</v>
      </c>
      <c r="P19" s="12">
        <f t="shared" si="4"/>
        <v>25</v>
      </c>
      <c r="Q19" s="13"/>
      <c r="R19" s="14">
        <f t="shared" si="5"/>
        <v>4.333333333333333</v>
      </c>
      <c r="S19" s="11">
        <v>4</v>
      </c>
      <c r="T19" s="11">
        <v>4</v>
      </c>
      <c r="U19" s="9">
        <f t="shared" si="6"/>
        <v>2.0999999999999996</v>
      </c>
      <c r="V19" s="11">
        <v>3</v>
      </c>
      <c r="W19" s="12">
        <f t="shared" si="7"/>
        <v>16.285714285714285</v>
      </c>
      <c r="X19" s="13"/>
      <c r="Y19" s="15"/>
    </row>
    <row r="20" spans="1:25" ht="28.8" x14ac:dyDescent="0.3">
      <c r="A20" s="6" t="s">
        <v>27</v>
      </c>
      <c r="B20" s="7" t="s">
        <v>460</v>
      </c>
      <c r="C20" s="18" t="s">
        <v>324</v>
      </c>
      <c r="D20" s="6">
        <v>1000</v>
      </c>
      <c r="E20" s="6"/>
      <c r="F20" s="6">
        <v>19</v>
      </c>
      <c r="G20" s="6">
        <v>40</v>
      </c>
      <c r="H20" s="6">
        <v>40</v>
      </c>
      <c r="I20" s="6">
        <v>40</v>
      </c>
      <c r="J20" s="6">
        <v>1</v>
      </c>
      <c r="K20" s="6">
        <v>42</v>
      </c>
      <c r="L20" s="8">
        <v>322</v>
      </c>
      <c r="M20" s="9"/>
      <c r="N20" s="10">
        <v>1</v>
      </c>
      <c r="O20" s="11">
        <v>3</v>
      </c>
      <c r="P20" s="12">
        <f t="shared" si="4"/>
        <v>28.75</v>
      </c>
      <c r="Q20" s="13"/>
      <c r="R20" s="14">
        <f t="shared" si="5"/>
        <v>2.6666666666666665</v>
      </c>
      <c r="S20" s="11">
        <v>2</v>
      </c>
      <c r="T20" s="11">
        <v>3</v>
      </c>
      <c r="U20" s="9">
        <f t="shared" si="6"/>
        <v>4.82</v>
      </c>
      <c r="V20" s="11">
        <v>5</v>
      </c>
      <c r="W20" s="12">
        <f t="shared" si="7"/>
        <v>11.428571428571429</v>
      </c>
      <c r="X20" s="13"/>
      <c r="Y20" s="15"/>
    </row>
    <row r="21" spans="1:25" ht="28.8" x14ac:dyDescent="0.3">
      <c r="A21" s="6" t="s">
        <v>27</v>
      </c>
      <c r="B21" s="7" t="s">
        <v>456</v>
      </c>
      <c r="C21" s="7" t="s">
        <v>426</v>
      </c>
      <c r="D21" s="6">
        <v>1000</v>
      </c>
      <c r="E21" s="6"/>
      <c r="F21" s="6">
        <v>25</v>
      </c>
      <c r="G21" s="6">
        <v>20</v>
      </c>
      <c r="H21" s="6">
        <v>78</v>
      </c>
      <c r="I21" s="6">
        <v>40</v>
      </c>
      <c r="J21" s="6">
        <v>1</v>
      </c>
      <c r="K21" s="6">
        <v>26</v>
      </c>
      <c r="L21" s="8">
        <v>257</v>
      </c>
      <c r="M21" s="9"/>
      <c r="N21" s="10">
        <v>1</v>
      </c>
      <c r="O21" s="11">
        <v>3</v>
      </c>
      <c r="P21" s="12">
        <f t="shared" si="4"/>
        <v>36.25</v>
      </c>
      <c r="Q21" s="13"/>
      <c r="R21" s="14">
        <f t="shared" si="5"/>
        <v>5.2</v>
      </c>
      <c r="S21" s="11">
        <v>5</v>
      </c>
      <c r="T21" s="11">
        <v>5</v>
      </c>
      <c r="U21" s="9">
        <f t="shared" si="6"/>
        <v>3.37</v>
      </c>
      <c r="V21" s="11">
        <v>4</v>
      </c>
      <c r="W21" s="12">
        <f t="shared" si="7"/>
        <v>11.428571428571429</v>
      </c>
      <c r="X21" s="13"/>
      <c r="Y21" s="15"/>
    </row>
    <row r="22" spans="1:25" x14ac:dyDescent="0.3">
      <c r="A22" s="108" t="s">
        <v>27</v>
      </c>
      <c r="B22" s="108" t="s">
        <v>29</v>
      </c>
      <c r="C22" s="20" t="s">
        <v>416</v>
      </c>
      <c r="D22" s="16">
        <v>2000</v>
      </c>
      <c r="E22" s="6"/>
      <c r="F22" s="6">
        <v>27</v>
      </c>
      <c r="G22" s="6">
        <v>76</v>
      </c>
      <c r="H22" s="6">
        <v>76</v>
      </c>
      <c r="I22" s="6">
        <v>75</v>
      </c>
      <c r="J22" s="6">
        <v>1</v>
      </c>
      <c r="K22" s="6">
        <v>64</v>
      </c>
      <c r="L22" s="8">
        <v>270</v>
      </c>
      <c r="M22" s="9"/>
      <c r="N22" s="10">
        <v>1</v>
      </c>
      <c r="O22" s="11">
        <v>4</v>
      </c>
      <c r="P22" s="12">
        <f t="shared" si="4"/>
        <v>38.75</v>
      </c>
      <c r="Q22" s="13"/>
      <c r="R22" s="14">
        <f t="shared" si="5"/>
        <v>5.0666666666666664</v>
      </c>
      <c r="S22" s="11">
        <v>5</v>
      </c>
      <c r="T22" s="11">
        <v>5</v>
      </c>
      <c r="U22" s="9">
        <f t="shared" si="6"/>
        <v>5.4</v>
      </c>
      <c r="V22" s="11">
        <v>5</v>
      </c>
      <c r="W22" s="12">
        <f t="shared" si="7"/>
        <v>21.428571428571427</v>
      </c>
      <c r="X22" s="13"/>
      <c r="Y22" s="15"/>
    </row>
    <row r="23" spans="1:25" ht="28.8" x14ac:dyDescent="0.3">
      <c r="A23" s="6" t="s">
        <v>27</v>
      </c>
      <c r="B23" s="7" t="s">
        <v>458</v>
      </c>
      <c r="C23" s="115" t="s">
        <v>459</v>
      </c>
      <c r="D23" s="6">
        <v>1500</v>
      </c>
      <c r="E23" s="6"/>
      <c r="F23" s="6">
        <v>31.5</v>
      </c>
      <c r="G23" s="6">
        <v>20</v>
      </c>
      <c r="H23" s="6">
        <v>102</v>
      </c>
      <c r="I23" s="6">
        <v>76</v>
      </c>
      <c r="J23" s="6">
        <v>1</v>
      </c>
      <c r="K23" s="6">
        <v>51</v>
      </c>
      <c r="L23" s="8">
        <v>169</v>
      </c>
      <c r="M23" s="9"/>
      <c r="N23" s="10">
        <v>1</v>
      </c>
      <c r="O23" s="11">
        <v>5</v>
      </c>
      <c r="P23" s="12">
        <f t="shared" si="4"/>
        <v>44.375</v>
      </c>
      <c r="Q23" s="13"/>
      <c r="R23" s="14">
        <f t="shared" si="5"/>
        <v>6.8</v>
      </c>
      <c r="S23" s="11">
        <v>7</v>
      </c>
      <c r="T23" s="11">
        <v>7</v>
      </c>
      <c r="U23" s="9">
        <f t="shared" si="6"/>
        <v>3.7399999999999998</v>
      </c>
      <c r="V23" s="11">
        <v>4</v>
      </c>
      <c r="W23" s="12">
        <f t="shared" si="7"/>
        <v>21.714285714285715</v>
      </c>
      <c r="X23" s="13"/>
      <c r="Y23" s="15"/>
    </row>
    <row r="24" spans="1:25" x14ac:dyDescent="0.3">
      <c r="A24" s="6" t="s">
        <v>27</v>
      </c>
      <c r="B24" s="7" t="s">
        <v>457</v>
      </c>
      <c r="C24" s="115">
        <v>1944</v>
      </c>
      <c r="D24" s="6">
        <v>1500</v>
      </c>
      <c r="E24" s="6"/>
      <c r="F24" s="6">
        <v>33</v>
      </c>
      <c r="G24" s="6">
        <v>32</v>
      </c>
      <c r="H24" s="6">
        <v>102</v>
      </c>
      <c r="I24" s="6">
        <v>77</v>
      </c>
      <c r="J24" s="6">
        <v>1</v>
      </c>
      <c r="K24" s="6">
        <v>51</v>
      </c>
      <c r="L24" s="8">
        <v>198</v>
      </c>
      <c r="M24" s="9"/>
      <c r="N24" s="10">
        <v>1</v>
      </c>
      <c r="O24" s="11">
        <v>5</v>
      </c>
      <c r="P24" s="12">
        <f t="shared" si="4"/>
        <v>46.25</v>
      </c>
      <c r="Q24" s="13"/>
      <c r="R24" s="14">
        <f t="shared" si="5"/>
        <v>6.8</v>
      </c>
      <c r="S24" s="11">
        <v>7</v>
      </c>
      <c r="T24" s="11">
        <v>7</v>
      </c>
      <c r="U24" s="9">
        <f t="shared" si="6"/>
        <v>4.0299999999999994</v>
      </c>
      <c r="V24" s="11">
        <v>4</v>
      </c>
      <c r="W24" s="12">
        <f t="shared" si="7"/>
        <v>22</v>
      </c>
      <c r="X24" s="13"/>
      <c r="Y24" s="15"/>
    </row>
    <row r="25" spans="1:25" s="5" customFormat="1" x14ac:dyDescent="0.3">
      <c r="A25" s="108" t="s">
        <v>27</v>
      </c>
      <c r="B25" s="108" t="s">
        <v>30</v>
      </c>
      <c r="C25" s="18" t="s">
        <v>141</v>
      </c>
      <c r="D25" s="6">
        <v>1500</v>
      </c>
      <c r="E25" s="6"/>
      <c r="F25" s="6">
        <v>39</v>
      </c>
      <c r="G25" s="6">
        <v>51</v>
      </c>
      <c r="H25" s="6">
        <v>102</v>
      </c>
      <c r="I25" s="6">
        <v>57</v>
      </c>
      <c r="J25" s="6">
        <v>1</v>
      </c>
      <c r="K25" s="6">
        <v>24</v>
      </c>
      <c r="L25" s="8">
        <v>90</v>
      </c>
      <c r="M25" s="9"/>
      <c r="N25" s="10">
        <v>1</v>
      </c>
      <c r="O25" s="11">
        <v>4</v>
      </c>
      <c r="P25" s="12">
        <f t="shared" si="4"/>
        <v>53.75</v>
      </c>
      <c r="Q25" s="13"/>
      <c r="R25" s="14">
        <f t="shared" si="5"/>
        <v>6.8</v>
      </c>
      <c r="S25" s="11">
        <v>7</v>
      </c>
      <c r="T25" s="11">
        <v>7</v>
      </c>
      <c r="U25" s="9">
        <f t="shared" si="6"/>
        <v>1.6</v>
      </c>
      <c r="V25" s="11">
        <v>3</v>
      </c>
      <c r="W25" s="12">
        <f t="shared" si="7"/>
        <v>16.285714285714285</v>
      </c>
      <c r="X25" s="13"/>
      <c r="Y25" s="15" t="s">
        <v>31</v>
      </c>
    </row>
    <row r="26" spans="1:25" s="75" customFormat="1" x14ac:dyDescent="0.3">
      <c r="A26" s="6"/>
      <c r="B26" s="17"/>
      <c r="C26" s="17"/>
      <c r="D26" s="6"/>
      <c r="E26" s="6"/>
      <c r="F26" s="6"/>
      <c r="G26" s="6"/>
      <c r="H26" s="6"/>
      <c r="I26" s="6"/>
      <c r="J26" s="6"/>
      <c r="K26" s="6"/>
      <c r="L26" s="8"/>
      <c r="M26" s="9"/>
      <c r="N26" s="10"/>
      <c r="O26" s="11"/>
      <c r="P26" s="12"/>
      <c r="Q26" s="13"/>
      <c r="R26" s="14"/>
      <c r="S26" s="11"/>
      <c r="T26" s="11"/>
      <c r="U26" s="9"/>
      <c r="V26" s="11"/>
      <c r="W26" s="12"/>
      <c r="X26" s="13"/>
      <c r="Y26" s="15"/>
    </row>
    <row r="27" spans="1:25" x14ac:dyDescent="0.3">
      <c r="A27" s="6" t="s">
        <v>318</v>
      </c>
      <c r="B27" s="7" t="s">
        <v>319</v>
      </c>
      <c r="C27" s="18" t="s">
        <v>320</v>
      </c>
      <c r="D27" s="16">
        <v>1000</v>
      </c>
      <c r="E27" s="6"/>
      <c r="F27" s="6">
        <v>14</v>
      </c>
      <c r="G27" s="6">
        <v>25</v>
      </c>
      <c r="H27" s="6">
        <v>42</v>
      </c>
      <c r="I27" s="6">
        <v>47</v>
      </c>
      <c r="J27" s="6">
        <v>1</v>
      </c>
      <c r="K27" s="6">
        <v>32</v>
      </c>
      <c r="L27" s="8">
        <v>200</v>
      </c>
      <c r="M27" s="9"/>
      <c r="N27" s="10">
        <v>1</v>
      </c>
      <c r="O27" s="11">
        <v>3</v>
      </c>
      <c r="P27" s="12">
        <f t="shared" ref="P27" si="8">5+F27*3/2.4</f>
        <v>22.5</v>
      </c>
      <c r="Q27" s="13">
        <v>30</v>
      </c>
      <c r="R27" s="14">
        <f t="shared" ref="R27" si="9">H27/15</f>
        <v>2.8</v>
      </c>
      <c r="S27" s="11">
        <v>3</v>
      </c>
      <c r="T27" s="11">
        <v>2</v>
      </c>
      <c r="U27" s="9">
        <f t="shared" ref="U27" si="10">(K27-10)/20+L27/100</f>
        <v>3.1</v>
      </c>
      <c r="V27" s="11">
        <v>3</v>
      </c>
      <c r="W27" s="12">
        <f t="shared" ref="W27" si="11">I27/3.5</f>
        <v>13.428571428571429</v>
      </c>
      <c r="X27" s="13">
        <v>14</v>
      </c>
      <c r="Y27" s="15"/>
    </row>
    <row r="29" spans="1:25" x14ac:dyDescent="0.3">
      <c r="A29" s="106" t="s">
        <v>32</v>
      </c>
      <c r="B29" s="107" t="s">
        <v>33</v>
      </c>
      <c r="C29" s="18" t="s">
        <v>34</v>
      </c>
      <c r="D29" s="6">
        <v>2000</v>
      </c>
      <c r="E29" s="6"/>
      <c r="F29" s="16">
        <v>14</v>
      </c>
      <c r="G29" s="16">
        <v>13</v>
      </c>
      <c r="H29" s="16">
        <v>51</v>
      </c>
      <c r="I29" s="6">
        <v>37</v>
      </c>
      <c r="J29" s="6">
        <v>1</v>
      </c>
      <c r="K29" s="16">
        <v>58</v>
      </c>
      <c r="L29" s="19">
        <v>120</v>
      </c>
      <c r="M29" s="9"/>
      <c r="N29" s="10">
        <v>1</v>
      </c>
      <c r="O29" s="11">
        <v>3</v>
      </c>
      <c r="P29" s="12">
        <f t="shared" ref="P29:P39" si="12">5+F29*3/2.4</f>
        <v>22.5</v>
      </c>
      <c r="Q29" s="13">
        <v>34</v>
      </c>
      <c r="R29" s="14">
        <f t="shared" ref="R29:R39" si="13">H29/15</f>
        <v>3.4</v>
      </c>
      <c r="S29" s="11">
        <v>3</v>
      </c>
      <c r="T29" s="11">
        <v>3</v>
      </c>
      <c r="U29" s="9">
        <f t="shared" ref="U29:U39" si="14">(K29-10)/20+L29/100</f>
        <v>3.5999999999999996</v>
      </c>
      <c r="V29" s="11">
        <v>4</v>
      </c>
      <c r="W29" s="12">
        <f t="shared" ref="W29:W39" si="15">I29/3.5</f>
        <v>10.571428571428571</v>
      </c>
      <c r="X29" s="13">
        <v>10</v>
      </c>
      <c r="Y29" s="15"/>
    </row>
    <row r="30" spans="1:25" x14ac:dyDescent="0.3">
      <c r="A30" s="6" t="s">
        <v>32</v>
      </c>
      <c r="B30" s="7" t="s">
        <v>35</v>
      </c>
      <c r="C30" s="18" t="s">
        <v>36</v>
      </c>
      <c r="D30" s="6">
        <v>2000</v>
      </c>
      <c r="E30" s="6"/>
      <c r="F30" s="6">
        <v>15</v>
      </c>
      <c r="G30" s="6">
        <v>10</v>
      </c>
      <c r="H30" s="6">
        <v>60</v>
      </c>
      <c r="I30" s="6">
        <v>37</v>
      </c>
      <c r="J30" s="6">
        <v>1</v>
      </c>
      <c r="K30" s="6">
        <v>58</v>
      </c>
      <c r="L30" s="8">
        <v>160</v>
      </c>
      <c r="M30" s="9"/>
      <c r="N30" s="10">
        <v>1</v>
      </c>
      <c r="O30" s="11">
        <v>3</v>
      </c>
      <c r="P30" s="12">
        <f t="shared" si="12"/>
        <v>23.75</v>
      </c>
      <c r="Q30" s="13">
        <v>34</v>
      </c>
      <c r="R30" s="14">
        <f t="shared" si="13"/>
        <v>4</v>
      </c>
      <c r="S30" s="11">
        <v>4</v>
      </c>
      <c r="T30" s="11">
        <v>4</v>
      </c>
      <c r="U30" s="9">
        <f t="shared" si="14"/>
        <v>4</v>
      </c>
      <c r="V30" s="11">
        <v>4</v>
      </c>
      <c r="W30" s="12">
        <f t="shared" si="15"/>
        <v>10.571428571428571</v>
      </c>
      <c r="X30" s="13">
        <v>10</v>
      </c>
      <c r="Y30" s="15"/>
    </row>
    <row r="31" spans="1:25" x14ac:dyDescent="0.3">
      <c r="A31" s="6" t="s">
        <v>32</v>
      </c>
      <c r="B31" s="7" t="s">
        <v>298</v>
      </c>
      <c r="C31" s="20" t="s">
        <v>109</v>
      </c>
      <c r="D31" s="6">
        <v>2000</v>
      </c>
      <c r="E31" s="6"/>
      <c r="F31" s="6">
        <v>18</v>
      </c>
      <c r="G31" s="6">
        <v>15</v>
      </c>
      <c r="H31" s="6">
        <v>38</v>
      </c>
      <c r="I31" s="6">
        <v>75</v>
      </c>
      <c r="J31" s="6">
        <v>1</v>
      </c>
      <c r="K31" s="6">
        <v>56</v>
      </c>
      <c r="L31" s="8">
        <v>160</v>
      </c>
      <c r="M31" s="9"/>
      <c r="N31" s="10">
        <v>1</v>
      </c>
      <c r="O31" s="11">
        <v>3</v>
      </c>
      <c r="P31" s="12">
        <f t="shared" si="12"/>
        <v>27.5</v>
      </c>
      <c r="Q31" s="13">
        <v>34</v>
      </c>
      <c r="R31" s="14">
        <f t="shared" si="13"/>
        <v>2.5333333333333332</v>
      </c>
      <c r="S31" s="11">
        <v>3</v>
      </c>
      <c r="T31" s="11">
        <v>2</v>
      </c>
      <c r="U31" s="9">
        <f t="shared" si="14"/>
        <v>3.9</v>
      </c>
      <c r="V31" s="11">
        <v>4</v>
      </c>
      <c r="W31" s="12">
        <f t="shared" si="15"/>
        <v>21.428571428571427</v>
      </c>
      <c r="X31" s="13">
        <v>10</v>
      </c>
      <c r="Y31" s="15"/>
    </row>
    <row r="32" spans="1:25" ht="28.8" x14ac:dyDescent="0.3">
      <c r="A32" s="6" t="s">
        <v>32</v>
      </c>
      <c r="B32" s="7" t="s">
        <v>37</v>
      </c>
      <c r="C32" s="7" t="s">
        <v>38</v>
      </c>
      <c r="D32" s="6">
        <v>1000</v>
      </c>
      <c r="E32" s="6"/>
      <c r="F32" s="6">
        <v>18.7</v>
      </c>
      <c r="G32" s="6">
        <v>6.4</v>
      </c>
      <c r="H32" s="6">
        <v>51</v>
      </c>
      <c r="I32" s="6">
        <v>51</v>
      </c>
      <c r="J32" s="6">
        <v>1</v>
      </c>
      <c r="K32" s="6">
        <v>42</v>
      </c>
      <c r="L32" s="8">
        <v>210</v>
      </c>
      <c r="M32" s="9"/>
      <c r="N32" s="10">
        <v>1</v>
      </c>
      <c r="O32" s="11">
        <v>3</v>
      </c>
      <c r="P32" s="12">
        <f t="shared" si="12"/>
        <v>28.375</v>
      </c>
      <c r="Q32" s="13">
        <v>34</v>
      </c>
      <c r="R32" s="14">
        <f t="shared" si="13"/>
        <v>3.4</v>
      </c>
      <c r="S32" s="11">
        <v>3</v>
      </c>
      <c r="T32" s="11">
        <v>4</v>
      </c>
      <c r="U32" s="9">
        <f t="shared" si="14"/>
        <v>3.7</v>
      </c>
      <c r="V32" s="11">
        <v>4</v>
      </c>
      <c r="W32" s="12">
        <f t="shared" si="15"/>
        <v>14.571428571428571</v>
      </c>
      <c r="X32" s="13">
        <v>10</v>
      </c>
      <c r="Y32" s="15" t="s">
        <v>39</v>
      </c>
    </row>
    <row r="33" spans="1:25" s="5" customFormat="1" x14ac:dyDescent="0.3">
      <c r="A33" s="106" t="s">
        <v>32</v>
      </c>
      <c r="B33" s="108" t="s">
        <v>40</v>
      </c>
      <c r="C33" s="18" t="s">
        <v>41</v>
      </c>
      <c r="D33" s="6">
        <v>2000</v>
      </c>
      <c r="E33" s="6"/>
      <c r="F33" s="6">
        <v>32</v>
      </c>
      <c r="G33" s="6">
        <v>12</v>
      </c>
      <c r="H33" s="6">
        <v>70</v>
      </c>
      <c r="I33" s="6">
        <v>75</v>
      </c>
      <c r="J33" s="6">
        <v>1</v>
      </c>
      <c r="K33" s="6">
        <v>48</v>
      </c>
      <c r="L33" s="8">
        <v>200</v>
      </c>
      <c r="M33" s="9"/>
      <c r="N33" s="10">
        <v>1</v>
      </c>
      <c r="O33" s="11">
        <v>4</v>
      </c>
      <c r="P33" s="12">
        <f t="shared" si="12"/>
        <v>45</v>
      </c>
      <c r="Q33" s="13">
        <v>43</v>
      </c>
      <c r="R33" s="14">
        <f t="shared" si="13"/>
        <v>4.666666666666667</v>
      </c>
      <c r="S33" s="11">
        <v>5</v>
      </c>
      <c r="T33" s="11">
        <v>4</v>
      </c>
      <c r="U33" s="9">
        <f t="shared" si="14"/>
        <v>3.9</v>
      </c>
      <c r="V33" s="11">
        <v>4</v>
      </c>
      <c r="W33" s="12">
        <f t="shared" si="15"/>
        <v>21.428571428571427</v>
      </c>
      <c r="X33" s="13">
        <v>20</v>
      </c>
      <c r="Y33" s="15"/>
    </row>
    <row r="34" spans="1:25" s="5" customFormat="1" x14ac:dyDescent="0.3">
      <c r="A34" s="6" t="s">
        <v>32</v>
      </c>
      <c r="B34" s="17" t="s">
        <v>317</v>
      </c>
      <c r="C34" s="20" t="s">
        <v>316</v>
      </c>
      <c r="D34" s="6">
        <v>1650</v>
      </c>
      <c r="E34" s="6"/>
      <c r="F34" s="6">
        <v>38</v>
      </c>
      <c r="G34" s="6">
        <v>13</v>
      </c>
      <c r="H34" s="6">
        <v>177</v>
      </c>
      <c r="I34" s="6">
        <v>76</v>
      </c>
      <c r="J34" s="6">
        <v>1</v>
      </c>
      <c r="K34" s="6">
        <v>35</v>
      </c>
      <c r="L34" s="8">
        <v>160</v>
      </c>
      <c r="M34" s="9"/>
      <c r="N34" s="10">
        <v>1</v>
      </c>
      <c r="O34" s="11">
        <v>4</v>
      </c>
      <c r="P34" s="12">
        <f t="shared" si="12"/>
        <v>52.5</v>
      </c>
      <c r="Q34" s="13">
        <v>43</v>
      </c>
      <c r="R34" s="14">
        <f t="shared" si="13"/>
        <v>11.8</v>
      </c>
      <c r="S34" s="11">
        <v>5</v>
      </c>
      <c r="T34" s="11">
        <v>4</v>
      </c>
      <c r="U34" s="9">
        <f t="shared" si="14"/>
        <v>2.85</v>
      </c>
      <c r="V34" s="11">
        <v>3</v>
      </c>
      <c r="W34" s="12">
        <f t="shared" si="15"/>
        <v>21.714285714285715</v>
      </c>
      <c r="X34" s="13">
        <v>20</v>
      </c>
      <c r="Y34" s="15"/>
    </row>
    <row r="35" spans="1:25" x14ac:dyDescent="0.3">
      <c r="A35" s="106" t="s">
        <v>32</v>
      </c>
      <c r="B35" s="107" t="s">
        <v>42</v>
      </c>
      <c r="C35" s="20" t="s">
        <v>43</v>
      </c>
      <c r="D35" s="6">
        <v>3200</v>
      </c>
      <c r="E35" s="6"/>
      <c r="F35" s="6">
        <v>46</v>
      </c>
      <c r="G35" s="6">
        <v>15</v>
      </c>
      <c r="H35" s="6">
        <v>100</v>
      </c>
      <c r="I35" s="6">
        <v>90</v>
      </c>
      <c r="J35" s="6">
        <v>1</v>
      </c>
      <c r="K35" s="6">
        <v>48</v>
      </c>
      <c r="L35" s="8">
        <v>160</v>
      </c>
      <c r="M35" s="9"/>
      <c r="N35" s="10">
        <v>1</v>
      </c>
      <c r="O35" s="11">
        <v>6</v>
      </c>
      <c r="P35" s="12">
        <f t="shared" si="12"/>
        <v>62.5</v>
      </c>
      <c r="Q35" s="13">
        <v>65</v>
      </c>
      <c r="R35" s="14">
        <f t="shared" si="13"/>
        <v>6.666666666666667</v>
      </c>
      <c r="S35" s="11">
        <v>7</v>
      </c>
      <c r="T35" s="11">
        <v>6</v>
      </c>
      <c r="U35" s="9">
        <f t="shared" si="14"/>
        <v>3.5</v>
      </c>
      <c r="V35" s="11">
        <v>4</v>
      </c>
      <c r="W35" s="12">
        <f t="shared" si="15"/>
        <v>25.714285714285715</v>
      </c>
      <c r="X35" s="13">
        <v>24</v>
      </c>
      <c r="Y35" s="15"/>
    </row>
    <row r="36" spans="1:25" x14ac:dyDescent="0.3">
      <c r="A36" s="6" t="s">
        <v>32</v>
      </c>
      <c r="B36" s="7" t="s">
        <v>308</v>
      </c>
      <c r="C36" s="20" t="s">
        <v>43</v>
      </c>
      <c r="D36" s="6">
        <v>3200</v>
      </c>
      <c r="E36" s="6"/>
      <c r="F36" s="6">
        <v>46</v>
      </c>
      <c r="G36" s="6">
        <v>15</v>
      </c>
      <c r="H36" s="6">
        <v>150</v>
      </c>
      <c r="I36" s="6">
        <v>90</v>
      </c>
      <c r="J36" s="6">
        <v>1</v>
      </c>
      <c r="K36" s="6">
        <v>48</v>
      </c>
      <c r="L36" s="8">
        <v>160</v>
      </c>
      <c r="M36" s="9"/>
      <c r="N36" s="10">
        <v>1</v>
      </c>
      <c r="O36" s="11">
        <v>6</v>
      </c>
      <c r="P36" s="12">
        <f t="shared" si="12"/>
        <v>62.5</v>
      </c>
      <c r="Q36" s="13">
        <v>65</v>
      </c>
      <c r="R36" s="14">
        <f t="shared" si="13"/>
        <v>10</v>
      </c>
      <c r="S36" s="11">
        <v>10</v>
      </c>
      <c r="T36" s="11">
        <v>6</v>
      </c>
      <c r="U36" s="9">
        <f t="shared" si="14"/>
        <v>3.5</v>
      </c>
      <c r="V36" s="11">
        <v>4</v>
      </c>
      <c r="W36" s="12">
        <f t="shared" si="15"/>
        <v>25.714285714285715</v>
      </c>
      <c r="X36" s="13">
        <v>24</v>
      </c>
      <c r="Y36" s="15" t="s">
        <v>309</v>
      </c>
    </row>
    <row r="37" spans="1:25" x14ac:dyDescent="0.3">
      <c r="A37" s="6" t="s">
        <v>32</v>
      </c>
      <c r="B37" s="7" t="s">
        <v>299</v>
      </c>
      <c r="C37" s="20" t="s">
        <v>300</v>
      </c>
      <c r="D37" s="6">
        <v>2000</v>
      </c>
      <c r="E37" s="6"/>
      <c r="F37" s="6">
        <v>64</v>
      </c>
      <c r="G37" s="6">
        <v>102</v>
      </c>
      <c r="H37" s="6">
        <v>279</v>
      </c>
      <c r="I37" s="6">
        <v>105</v>
      </c>
      <c r="J37" s="6">
        <v>1</v>
      </c>
      <c r="K37" s="6">
        <v>35</v>
      </c>
      <c r="L37" s="8">
        <v>100</v>
      </c>
      <c r="M37" s="9"/>
      <c r="N37" s="10">
        <v>1</v>
      </c>
      <c r="O37" s="11">
        <v>8</v>
      </c>
      <c r="P37" s="12">
        <f t="shared" si="12"/>
        <v>85</v>
      </c>
      <c r="Q37" s="13">
        <v>65</v>
      </c>
      <c r="R37" s="14">
        <f t="shared" si="13"/>
        <v>18.600000000000001</v>
      </c>
      <c r="S37" s="11">
        <v>18</v>
      </c>
      <c r="T37" s="11">
        <v>17</v>
      </c>
      <c r="U37" s="9">
        <f t="shared" si="14"/>
        <v>2.25</v>
      </c>
      <c r="V37" s="11">
        <v>3</v>
      </c>
      <c r="W37" s="12">
        <f t="shared" si="15"/>
        <v>30</v>
      </c>
      <c r="X37" s="13">
        <v>24</v>
      </c>
      <c r="Y37" s="15"/>
    </row>
    <row r="38" spans="1:25" x14ac:dyDescent="0.3">
      <c r="A38" s="6" t="s">
        <v>32</v>
      </c>
      <c r="B38" s="7" t="s">
        <v>307</v>
      </c>
      <c r="C38" s="20" t="s">
        <v>300</v>
      </c>
      <c r="D38" s="6">
        <v>2000</v>
      </c>
      <c r="E38" s="6"/>
      <c r="F38" s="6">
        <v>57</v>
      </c>
      <c r="G38" s="6">
        <v>25</v>
      </c>
      <c r="H38" s="6">
        <v>83</v>
      </c>
      <c r="I38" s="6">
        <v>75</v>
      </c>
      <c r="J38" s="6">
        <v>1</v>
      </c>
      <c r="K38" s="6">
        <v>35</v>
      </c>
      <c r="L38" s="8">
        <v>100</v>
      </c>
      <c r="M38" s="9"/>
      <c r="N38" s="10">
        <v>1</v>
      </c>
      <c r="O38" s="11">
        <v>8</v>
      </c>
      <c r="P38" s="12">
        <f t="shared" si="12"/>
        <v>76.25</v>
      </c>
      <c r="Q38" s="13">
        <v>65</v>
      </c>
      <c r="R38" s="14">
        <f t="shared" si="13"/>
        <v>5.5333333333333332</v>
      </c>
      <c r="S38" s="11">
        <v>5</v>
      </c>
      <c r="T38" s="11">
        <v>6</v>
      </c>
      <c r="U38" s="9">
        <f t="shared" si="14"/>
        <v>2.25</v>
      </c>
      <c r="V38" s="11">
        <v>3</v>
      </c>
      <c r="W38" s="12">
        <f t="shared" si="15"/>
        <v>21.428571428571427</v>
      </c>
      <c r="X38" s="13">
        <v>24</v>
      </c>
      <c r="Y38" s="15"/>
    </row>
    <row r="39" spans="1:25" x14ac:dyDescent="0.3">
      <c r="A39" s="6" t="s">
        <v>32</v>
      </c>
      <c r="B39" s="7" t="s">
        <v>301</v>
      </c>
      <c r="C39" s="20" t="s">
        <v>300</v>
      </c>
      <c r="D39" s="6">
        <v>2000</v>
      </c>
      <c r="E39" s="6"/>
      <c r="F39" s="6">
        <v>57</v>
      </c>
      <c r="G39" s="6">
        <v>25</v>
      </c>
      <c r="H39" s="6">
        <v>190</v>
      </c>
      <c r="I39" s="6">
        <v>105</v>
      </c>
      <c r="J39" s="6">
        <v>1</v>
      </c>
      <c r="K39" s="6">
        <v>35</v>
      </c>
      <c r="L39" s="8">
        <v>100</v>
      </c>
      <c r="M39" s="9"/>
      <c r="N39" s="10">
        <v>1</v>
      </c>
      <c r="O39" s="11">
        <v>8</v>
      </c>
      <c r="P39" s="12">
        <f t="shared" si="12"/>
        <v>76.25</v>
      </c>
      <c r="Q39" s="13">
        <v>65</v>
      </c>
      <c r="R39" s="14">
        <f t="shared" si="13"/>
        <v>12.666666666666666</v>
      </c>
      <c r="S39" s="11">
        <v>13</v>
      </c>
      <c r="T39" s="11">
        <v>12</v>
      </c>
      <c r="U39" s="9">
        <f t="shared" si="14"/>
        <v>2.25</v>
      </c>
      <c r="V39" s="11">
        <v>3</v>
      </c>
      <c r="W39" s="12">
        <f t="shared" si="15"/>
        <v>30</v>
      </c>
      <c r="X39" s="13">
        <v>24</v>
      </c>
      <c r="Y39" s="15"/>
    </row>
    <row r="41" spans="1:25" x14ac:dyDescent="0.3">
      <c r="A41" s="106" t="s">
        <v>44</v>
      </c>
      <c r="B41" s="107" t="s">
        <v>45</v>
      </c>
      <c r="C41" s="7" t="s">
        <v>46</v>
      </c>
      <c r="D41" s="6">
        <v>2000</v>
      </c>
      <c r="E41" s="6"/>
      <c r="F41" s="6">
        <v>5.4</v>
      </c>
      <c r="G41" s="6">
        <v>7</v>
      </c>
      <c r="H41" s="6">
        <v>13</v>
      </c>
      <c r="I41" s="6">
        <v>20</v>
      </c>
      <c r="J41" s="6">
        <v>1</v>
      </c>
      <c r="K41" s="6">
        <v>50</v>
      </c>
      <c r="L41" s="8">
        <v>200</v>
      </c>
      <c r="M41" s="9"/>
      <c r="N41" s="10">
        <v>1</v>
      </c>
      <c r="O41" s="11">
        <v>2</v>
      </c>
      <c r="P41" s="12">
        <f t="shared" ref="P41:P50" si="16">5+F41*3/2.4</f>
        <v>11.750000000000002</v>
      </c>
      <c r="Q41" s="13">
        <v>15</v>
      </c>
      <c r="R41" s="14">
        <f t="shared" ref="R41:R50" si="17">H41/15</f>
        <v>0.8666666666666667</v>
      </c>
      <c r="S41" s="11">
        <v>1</v>
      </c>
      <c r="T41" s="11">
        <v>1</v>
      </c>
      <c r="U41" s="9">
        <f t="shared" ref="U41:U50" si="18">(K41-10)/20+L41/100</f>
        <v>4</v>
      </c>
      <c r="V41" s="11">
        <v>4</v>
      </c>
      <c r="W41" s="12">
        <f t="shared" ref="W41:W50" si="19">I41/3.5</f>
        <v>5.7142857142857144</v>
      </c>
      <c r="X41" s="13" t="s">
        <v>47</v>
      </c>
      <c r="Y41" s="15" t="s">
        <v>48</v>
      </c>
    </row>
    <row r="42" spans="1:25" x14ac:dyDescent="0.3">
      <c r="A42" s="106" t="s">
        <v>44</v>
      </c>
      <c r="B42" s="107" t="s">
        <v>49</v>
      </c>
      <c r="C42" s="7" t="s">
        <v>50</v>
      </c>
      <c r="D42" s="6">
        <v>1500</v>
      </c>
      <c r="E42" s="6"/>
      <c r="F42" s="6">
        <v>9</v>
      </c>
      <c r="G42" s="6">
        <v>5</v>
      </c>
      <c r="H42" s="6">
        <v>15</v>
      </c>
      <c r="I42" s="6">
        <v>20</v>
      </c>
      <c r="J42" s="6">
        <v>1</v>
      </c>
      <c r="K42" s="6">
        <v>40</v>
      </c>
      <c r="L42" s="8">
        <v>190</v>
      </c>
      <c r="M42" s="9"/>
      <c r="N42" s="10">
        <v>1</v>
      </c>
      <c r="O42" s="11">
        <v>3</v>
      </c>
      <c r="P42" s="12">
        <f t="shared" si="16"/>
        <v>16.25</v>
      </c>
      <c r="Q42" s="13">
        <v>20</v>
      </c>
      <c r="R42" s="14">
        <f t="shared" si="17"/>
        <v>1</v>
      </c>
      <c r="S42" s="11">
        <v>1</v>
      </c>
      <c r="T42" s="11">
        <v>1</v>
      </c>
      <c r="U42" s="9">
        <f t="shared" si="18"/>
        <v>3.4</v>
      </c>
      <c r="V42" s="11">
        <v>4</v>
      </c>
      <c r="W42" s="12">
        <f t="shared" si="19"/>
        <v>5.7142857142857144</v>
      </c>
      <c r="X42" s="13" t="s">
        <v>51</v>
      </c>
      <c r="Y42" s="15" t="s">
        <v>48</v>
      </c>
    </row>
    <row r="43" spans="1:25" x14ac:dyDescent="0.3">
      <c r="A43" s="106" t="s">
        <v>44</v>
      </c>
      <c r="B43" s="107" t="s">
        <v>52</v>
      </c>
      <c r="C43" s="7" t="s">
        <v>53</v>
      </c>
      <c r="D43" s="6">
        <v>2000</v>
      </c>
      <c r="E43" s="6"/>
      <c r="F43" s="6">
        <v>23</v>
      </c>
      <c r="G43" s="6">
        <v>10</v>
      </c>
      <c r="H43" s="6">
        <v>50</v>
      </c>
      <c r="I43" s="6">
        <v>50</v>
      </c>
      <c r="J43" s="6">
        <v>1</v>
      </c>
      <c r="K43" s="6">
        <v>40</v>
      </c>
      <c r="L43" s="8">
        <v>165</v>
      </c>
      <c r="M43" s="9"/>
      <c r="N43" s="10">
        <v>1</v>
      </c>
      <c r="O43" s="11">
        <v>3</v>
      </c>
      <c r="P43" s="12">
        <f t="shared" si="16"/>
        <v>33.75</v>
      </c>
      <c r="Q43" s="13">
        <v>30</v>
      </c>
      <c r="R43" s="14">
        <f t="shared" si="17"/>
        <v>3.3333333333333335</v>
      </c>
      <c r="S43" s="11">
        <v>3</v>
      </c>
      <c r="T43" s="11">
        <v>3</v>
      </c>
      <c r="U43" s="9">
        <f t="shared" si="18"/>
        <v>3.15</v>
      </c>
      <c r="V43" s="11">
        <v>4</v>
      </c>
      <c r="W43" s="12">
        <f t="shared" si="19"/>
        <v>14.285714285714286</v>
      </c>
      <c r="X43" s="13">
        <v>14</v>
      </c>
      <c r="Y43" s="15"/>
    </row>
    <row r="44" spans="1:25" x14ac:dyDescent="0.3">
      <c r="A44" s="6" t="s">
        <v>44</v>
      </c>
      <c r="B44" s="7" t="s">
        <v>54</v>
      </c>
      <c r="C44" s="7" t="s">
        <v>55</v>
      </c>
      <c r="D44" s="6">
        <v>2000</v>
      </c>
      <c r="E44" s="6"/>
      <c r="F44" s="6">
        <v>25</v>
      </c>
      <c r="G44" s="6">
        <v>10</v>
      </c>
      <c r="H44" s="6">
        <v>80</v>
      </c>
      <c r="I44" s="6">
        <v>75</v>
      </c>
      <c r="J44" s="6">
        <v>1</v>
      </c>
      <c r="K44" s="6">
        <v>42</v>
      </c>
      <c r="L44" s="8">
        <v>200</v>
      </c>
      <c r="M44" s="9"/>
      <c r="N44" s="10">
        <v>1</v>
      </c>
      <c r="O44" s="11">
        <v>4</v>
      </c>
      <c r="P44" s="12">
        <f t="shared" si="16"/>
        <v>36.25</v>
      </c>
      <c r="Q44" s="13">
        <v>45</v>
      </c>
      <c r="R44" s="14">
        <f t="shared" si="17"/>
        <v>5.333333333333333</v>
      </c>
      <c r="S44" s="11">
        <v>5</v>
      </c>
      <c r="T44" s="11">
        <v>5</v>
      </c>
      <c r="U44" s="9">
        <f t="shared" si="18"/>
        <v>3.6</v>
      </c>
      <c r="V44" s="11">
        <v>4</v>
      </c>
      <c r="W44" s="12">
        <f t="shared" si="19"/>
        <v>21.428571428571427</v>
      </c>
      <c r="X44" s="13">
        <v>20</v>
      </c>
      <c r="Y44" s="15"/>
    </row>
    <row r="45" spans="1:25" x14ac:dyDescent="0.3">
      <c r="A45" s="6" t="s">
        <v>44</v>
      </c>
      <c r="B45" s="7" t="s">
        <v>56</v>
      </c>
      <c r="C45" s="18" t="s">
        <v>57</v>
      </c>
      <c r="D45" s="6">
        <v>2000</v>
      </c>
      <c r="E45" s="6"/>
      <c r="F45" s="6">
        <v>25</v>
      </c>
      <c r="G45" s="6">
        <v>10</v>
      </c>
      <c r="H45" s="6">
        <v>80</v>
      </c>
      <c r="I45" s="6">
        <v>75</v>
      </c>
      <c r="J45" s="6">
        <v>1</v>
      </c>
      <c r="K45" s="6">
        <v>42</v>
      </c>
      <c r="L45" s="8">
        <v>200</v>
      </c>
      <c r="M45" s="9"/>
      <c r="N45" s="10">
        <v>1</v>
      </c>
      <c r="O45" s="11">
        <v>4</v>
      </c>
      <c r="P45" s="12">
        <f t="shared" si="16"/>
        <v>36.25</v>
      </c>
      <c r="Q45" s="13">
        <v>45</v>
      </c>
      <c r="R45" s="14">
        <f t="shared" si="17"/>
        <v>5.333333333333333</v>
      </c>
      <c r="S45" s="11">
        <v>5</v>
      </c>
      <c r="T45" s="11">
        <v>5</v>
      </c>
      <c r="U45" s="9">
        <f t="shared" si="18"/>
        <v>3.6</v>
      </c>
      <c r="V45" s="11">
        <v>4</v>
      </c>
      <c r="W45" s="12">
        <f t="shared" si="19"/>
        <v>21.428571428571427</v>
      </c>
      <c r="X45" s="13">
        <v>20</v>
      </c>
      <c r="Y45" s="15"/>
    </row>
    <row r="46" spans="1:25" s="5" customFormat="1" x14ac:dyDescent="0.3">
      <c r="A46" s="106" t="s">
        <v>44</v>
      </c>
      <c r="B46" s="108" t="s">
        <v>58</v>
      </c>
      <c r="C46" s="21" t="s">
        <v>59</v>
      </c>
      <c r="D46" s="6">
        <v>2500</v>
      </c>
      <c r="E46" s="6"/>
      <c r="F46" s="6">
        <v>44</v>
      </c>
      <c r="G46" s="6">
        <v>10</v>
      </c>
      <c r="H46" s="6">
        <v>110</v>
      </c>
      <c r="I46" s="6">
        <v>75</v>
      </c>
      <c r="J46" s="6">
        <v>1</v>
      </c>
      <c r="K46" s="6">
        <v>55</v>
      </c>
      <c r="L46" s="8">
        <v>200</v>
      </c>
      <c r="M46" s="9"/>
      <c r="N46" s="10">
        <v>1</v>
      </c>
      <c r="O46" s="11">
        <v>5</v>
      </c>
      <c r="P46" s="12">
        <f t="shared" si="16"/>
        <v>60</v>
      </c>
      <c r="Q46" s="13">
        <v>73</v>
      </c>
      <c r="R46" s="14">
        <f t="shared" si="17"/>
        <v>7.333333333333333</v>
      </c>
      <c r="S46" s="11">
        <v>7</v>
      </c>
      <c r="T46" s="11">
        <v>7</v>
      </c>
      <c r="U46" s="9">
        <f t="shared" si="18"/>
        <v>4.25</v>
      </c>
      <c r="V46" s="11">
        <v>4</v>
      </c>
      <c r="W46" s="12">
        <f t="shared" si="19"/>
        <v>21.428571428571427</v>
      </c>
      <c r="X46" s="13">
        <v>20</v>
      </c>
      <c r="Y46" s="15"/>
    </row>
    <row r="47" spans="1:25" s="5" customFormat="1" x14ac:dyDescent="0.3">
      <c r="A47" s="106" t="s">
        <v>44</v>
      </c>
      <c r="B47" s="108" t="s">
        <v>60</v>
      </c>
      <c r="C47" s="22" t="s">
        <v>36</v>
      </c>
      <c r="D47" s="6">
        <v>3000</v>
      </c>
      <c r="E47" s="6"/>
      <c r="F47" s="6">
        <v>54</v>
      </c>
      <c r="G47" s="6">
        <v>20</v>
      </c>
      <c r="H47" s="6">
        <v>120</v>
      </c>
      <c r="I47" s="6">
        <v>88</v>
      </c>
      <c r="J47" s="6">
        <v>1</v>
      </c>
      <c r="K47" s="6">
        <v>45</v>
      </c>
      <c r="L47" s="8">
        <v>195</v>
      </c>
      <c r="M47" s="9"/>
      <c r="N47" s="10">
        <v>1</v>
      </c>
      <c r="O47" s="11">
        <v>6</v>
      </c>
      <c r="P47" s="12">
        <f t="shared" si="16"/>
        <v>72.5</v>
      </c>
      <c r="Q47" s="13">
        <v>70</v>
      </c>
      <c r="R47" s="14">
        <f t="shared" si="17"/>
        <v>8</v>
      </c>
      <c r="S47" s="11">
        <v>8</v>
      </c>
      <c r="T47" s="11">
        <v>7</v>
      </c>
      <c r="U47" s="9">
        <f t="shared" si="18"/>
        <v>3.7</v>
      </c>
      <c r="V47" s="11">
        <v>4</v>
      </c>
      <c r="W47" s="12">
        <f t="shared" si="19"/>
        <v>25.142857142857142</v>
      </c>
      <c r="X47" s="13">
        <v>24</v>
      </c>
      <c r="Y47" s="15"/>
    </row>
    <row r="48" spans="1:25" s="5" customFormat="1" x14ac:dyDescent="0.3">
      <c r="A48" s="6" t="s">
        <v>44</v>
      </c>
      <c r="B48" s="17" t="s">
        <v>61</v>
      </c>
      <c r="C48" s="21" t="s">
        <v>59</v>
      </c>
      <c r="D48" s="6">
        <v>3000</v>
      </c>
      <c r="E48" s="6"/>
      <c r="F48" s="6">
        <v>70</v>
      </c>
      <c r="G48" s="6">
        <v>25</v>
      </c>
      <c r="H48" s="6">
        <v>185</v>
      </c>
      <c r="I48" s="6">
        <v>88</v>
      </c>
      <c r="J48" s="6">
        <v>1</v>
      </c>
      <c r="K48" s="6">
        <v>40</v>
      </c>
      <c r="L48" s="8">
        <v>170</v>
      </c>
      <c r="M48" s="9"/>
      <c r="N48" s="10">
        <v>1</v>
      </c>
      <c r="O48" s="11">
        <v>8</v>
      </c>
      <c r="P48" s="12">
        <f t="shared" si="16"/>
        <v>92.5</v>
      </c>
      <c r="Q48" s="13"/>
      <c r="R48" s="14">
        <f t="shared" si="17"/>
        <v>12.333333333333334</v>
      </c>
      <c r="S48" s="11">
        <v>12</v>
      </c>
      <c r="T48" s="11">
        <v>12</v>
      </c>
      <c r="U48" s="9">
        <f t="shared" si="18"/>
        <v>3.2</v>
      </c>
      <c r="V48" s="11">
        <v>3</v>
      </c>
      <c r="W48" s="12">
        <f t="shared" si="19"/>
        <v>25.142857142857142</v>
      </c>
      <c r="X48" s="13"/>
      <c r="Y48" s="15"/>
    </row>
    <row r="49" spans="1:25" s="5" customFormat="1" x14ac:dyDescent="0.3">
      <c r="A49" s="6" t="s">
        <v>44</v>
      </c>
      <c r="B49" s="23" t="s">
        <v>62</v>
      </c>
      <c r="C49" s="21">
        <v>1944</v>
      </c>
      <c r="D49" s="6">
        <v>2000</v>
      </c>
      <c r="E49" s="6"/>
      <c r="F49" s="6">
        <v>188</v>
      </c>
      <c r="G49" s="6">
        <v>150</v>
      </c>
      <c r="H49" s="6">
        <v>200</v>
      </c>
      <c r="I49" s="6">
        <v>128</v>
      </c>
      <c r="J49" s="6">
        <v>1.5</v>
      </c>
      <c r="K49" s="6">
        <v>20</v>
      </c>
      <c r="L49" s="8">
        <v>160</v>
      </c>
      <c r="M49" s="9"/>
      <c r="N49" s="10">
        <v>1</v>
      </c>
      <c r="O49" s="11">
        <v>10</v>
      </c>
      <c r="P49" s="12">
        <f t="shared" si="16"/>
        <v>240</v>
      </c>
      <c r="Q49" s="13">
        <v>70</v>
      </c>
      <c r="R49" s="14">
        <f t="shared" si="17"/>
        <v>13.333333333333334</v>
      </c>
      <c r="S49" s="11">
        <v>14</v>
      </c>
      <c r="T49" s="11">
        <v>13</v>
      </c>
      <c r="U49" s="9">
        <f t="shared" si="18"/>
        <v>2.1</v>
      </c>
      <c r="V49" s="11">
        <v>2</v>
      </c>
      <c r="W49" s="12">
        <f t="shared" si="19"/>
        <v>36.571428571428569</v>
      </c>
      <c r="X49" s="13">
        <v>24</v>
      </c>
      <c r="Y49" s="15"/>
    </row>
    <row r="50" spans="1:25" s="5" customFormat="1" x14ac:dyDescent="0.3">
      <c r="A50" s="6" t="s">
        <v>44</v>
      </c>
      <c r="B50" s="17" t="s">
        <v>63</v>
      </c>
      <c r="C50" s="21" t="s">
        <v>64</v>
      </c>
      <c r="D50" s="6">
        <v>23000</v>
      </c>
      <c r="E50" s="6"/>
      <c r="F50" s="6">
        <v>1000</v>
      </c>
      <c r="G50" s="6">
        <v>150</v>
      </c>
      <c r="H50" s="6">
        <v>360</v>
      </c>
      <c r="I50" s="6">
        <v>280</v>
      </c>
      <c r="J50" s="6">
        <v>2</v>
      </c>
      <c r="K50" s="6">
        <v>40</v>
      </c>
      <c r="L50" s="8">
        <v>190</v>
      </c>
      <c r="M50" s="9"/>
      <c r="N50" s="10">
        <v>7</v>
      </c>
      <c r="O50" s="11">
        <v>12</v>
      </c>
      <c r="P50" s="12">
        <f t="shared" si="16"/>
        <v>1255</v>
      </c>
      <c r="Q50" s="13">
        <v>70</v>
      </c>
      <c r="R50" s="14">
        <f t="shared" si="17"/>
        <v>24</v>
      </c>
      <c r="S50" s="11">
        <v>24</v>
      </c>
      <c r="T50" s="11">
        <v>24</v>
      </c>
      <c r="U50" s="9">
        <f t="shared" si="18"/>
        <v>3.4</v>
      </c>
      <c r="V50" s="11">
        <v>3</v>
      </c>
      <c r="W50" s="12">
        <f t="shared" si="19"/>
        <v>80</v>
      </c>
      <c r="X50" s="13">
        <v>24</v>
      </c>
      <c r="Y50" s="15"/>
    </row>
    <row r="52" spans="1:25" x14ac:dyDescent="0.3">
      <c r="A52" s="6" t="s">
        <v>65</v>
      </c>
      <c r="B52" s="17" t="s">
        <v>66</v>
      </c>
      <c r="C52" s="18" t="s">
        <v>67</v>
      </c>
      <c r="D52" s="6" t="s">
        <v>68</v>
      </c>
      <c r="E52" s="6"/>
      <c r="F52" s="6">
        <v>5.8</v>
      </c>
      <c r="G52" s="6">
        <v>7</v>
      </c>
      <c r="H52" s="6">
        <v>20</v>
      </c>
      <c r="I52" s="6">
        <v>20</v>
      </c>
      <c r="J52" s="6">
        <v>1</v>
      </c>
      <c r="K52" s="6">
        <v>44</v>
      </c>
      <c r="L52" s="8">
        <v>450</v>
      </c>
      <c r="M52" s="9"/>
      <c r="N52" s="10">
        <v>1</v>
      </c>
      <c r="O52" s="11">
        <v>2</v>
      </c>
      <c r="P52" s="12">
        <f t="shared" ref="P52:P62" si="20">5+F52*3/2.4</f>
        <v>12.25</v>
      </c>
      <c r="Q52" s="13">
        <v>18</v>
      </c>
      <c r="R52" s="14">
        <f t="shared" ref="R52:R62" si="21">H52/15</f>
        <v>1.3333333333333333</v>
      </c>
      <c r="S52" s="11">
        <v>1</v>
      </c>
      <c r="T52" s="11">
        <v>1</v>
      </c>
      <c r="U52" s="9">
        <f t="shared" ref="U52:U62" si="22">(K52-10)/20+L52/100</f>
        <v>6.2</v>
      </c>
      <c r="V52" s="11">
        <v>6</v>
      </c>
      <c r="W52" s="12">
        <f t="shared" ref="W52:W62" si="23">I52/3.5</f>
        <v>5.7142857142857144</v>
      </c>
      <c r="X52" s="13">
        <v>13</v>
      </c>
      <c r="Y52" s="15" t="s">
        <v>48</v>
      </c>
    </row>
    <row r="53" spans="1:25" x14ac:dyDescent="0.3">
      <c r="A53" s="6" t="s">
        <v>65</v>
      </c>
      <c r="B53" s="17" t="s">
        <v>69</v>
      </c>
      <c r="C53" s="18" t="s">
        <v>70</v>
      </c>
      <c r="D53" s="6" t="s">
        <v>68</v>
      </c>
      <c r="E53" s="6"/>
      <c r="F53" s="6">
        <v>9.1999999999999993</v>
      </c>
      <c r="G53" s="6">
        <v>10</v>
      </c>
      <c r="H53" s="6">
        <v>60</v>
      </c>
      <c r="I53" s="6">
        <v>45</v>
      </c>
      <c r="J53" s="6">
        <v>1</v>
      </c>
      <c r="K53" s="6">
        <v>44</v>
      </c>
      <c r="L53" s="8">
        <v>360</v>
      </c>
      <c r="M53" s="9"/>
      <c r="N53" s="10">
        <v>1</v>
      </c>
      <c r="O53" s="11">
        <v>3</v>
      </c>
      <c r="P53" s="12">
        <f t="shared" si="20"/>
        <v>16.5</v>
      </c>
      <c r="Q53" s="13">
        <v>18</v>
      </c>
      <c r="R53" s="14">
        <f t="shared" si="21"/>
        <v>4</v>
      </c>
      <c r="S53" s="11">
        <v>4</v>
      </c>
      <c r="T53" s="11">
        <v>4</v>
      </c>
      <c r="U53" s="9">
        <f t="shared" si="22"/>
        <v>5.3</v>
      </c>
      <c r="V53" s="11">
        <v>5</v>
      </c>
      <c r="W53" s="12">
        <f t="shared" si="23"/>
        <v>12.857142857142858</v>
      </c>
      <c r="X53" s="13">
        <v>13</v>
      </c>
      <c r="Y53" s="15"/>
    </row>
    <row r="54" spans="1:25" x14ac:dyDescent="0.3">
      <c r="A54" s="6" t="s">
        <v>65</v>
      </c>
      <c r="B54" s="7" t="s">
        <v>71</v>
      </c>
      <c r="C54" s="7" t="s">
        <v>72</v>
      </c>
      <c r="D54" s="6" t="s">
        <v>68</v>
      </c>
      <c r="E54" s="6"/>
      <c r="F54" s="6">
        <v>9.6</v>
      </c>
      <c r="G54" s="6">
        <v>5</v>
      </c>
      <c r="H54" s="6">
        <v>15</v>
      </c>
      <c r="I54" s="6">
        <v>45</v>
      </c>
      <c r="J54" s="6">
        <v>1</v>
      </c>
      <c r="K54" s="6">
        <v>31</v>
      </c>
      <c r="L54" s="8">
        <v>240</v>
      </c>
      <c r="M54" s="9"/>
      <c r="N54" s="10">
        <v>1</v>
      </c>
      <c r="O54" s="11">
        <v>2</v>
      </c>
      <c r="P54" s="12">
        <f t="shared" si="20"/>
        <v>17</v>
      </c>
      <c r="Q54" s="13">
        <v>18</v>
      </c>
      <c r="R54" s="14">
        <f t="shared" si="21"/>
        <v>1</v>
      </c>
      <c r="S54" s="11">
        <v>1</v>
      </c>
      <c r="T54" s="11">
        <v>1</v>
      </c>
      <c r="U54" s="9">
        <f t="shared" si="22"/>
        <v>3.45</v>
      </c>
      <c r="V54" s="11">
        <v>4</v>
      </c>
      <c r="W54" s="12">
        <f t="shared" si="23"/>
        <v>12.857142857142858</v>
      </c>
      <c r="X54" s="13">
        <v>13</v>
      </c>
      <c r="Y54" s="15"/>
    </row>
    <row r="55" spans="1:25" x14ac:dyDescent="0.3">
      <c r="A55" s="106" t="s">
        <v>65</v>
      </c>
      <c r="B55" s="107" t="s">
        <v>73</v>
      </c>
      <c r="C55" s="7" t="s">
        <v>74</v>
      </c>
      <c r="D55" s="6">
        <v>2500</v>
      </c>
      <c r="E55" s="6"/>
      <c r="F55" s="6">
        <v>13</v>
      </c>
      <c r="G55" s="6">
        <v>10</v>
      </c>
      <c r="H55" s="6">
        <v>40</v>
      </c>
      <c r="I55" s="6">
        <v>45</v>
      </c>
      <c r="J55" s="6">
        <v>1</v>
      </c>
      <c r="K55" s="6">
        <v>70</v>
      </c>
      <c r="L55" s="8">
        <v>430</v>
      </c>
      <c r="M55" s="9"/>
      <c r="N55" s="10">
        <v>1</v>
      </c>
      <c r="O55" s="11">
        <v>3</v>
      </c>
      <c r="P55" s="12">
        <f t="shared" si="20"/>
        <v>21.25</v>
      </c>
      <c r="Q55" s="13">
        <v>17</v>
      </c>
      <c r="R55" s="14">
        <f t="shared" si="21"/>
        <v>2.6666666666666665</v>
      </c>
      <c r="S55" s="11">
        <v>3</v>
      </c>
      <c r="T55" s="11">
        <v>2</v>
      </c>
      <c r="U55" s="9">
        <f t="shared" si="22"/>
        <v>7.3</v>
      </c>
      <c r="V55" s="11">
        <v>7</v>
      </c>
      <c r="W55" s="12">
        <f t="shared" si="23"/>
        <v>12.857142857142858</v>
      </c>
      <c r="X55" s="13">
        <v>13</v>
      </c>
      <c r="Y55" s="15"/>
    </row>
    <row r="56" spans="1:25" x14ac:dyDescent="0.3">
      <c r="A56" s="106" t="s">
        <v>65</v>
      </c>
      <c r="B56" s="107" t="s">
        <v>75</v>
      </c>
      <c r="C56" s="18" t="s">
        <v>76</v>
      </c>
      <c r="D56" s="6">
        <v>2500</v>
      </c>
      <c r="E56" s="6"/>
      <c r="F56" s="6">
        <v>26</v>
      </c>
      <c r="G56" s="6">
        <v>15</v>
      </c>
      <c r="H56" s="6">
        <v>60</v>
      </c>
      <c r="I56" s="6">
        <v>76</v>
      </c>
      <c r="J56" s="6">
        <v>1</v>
      </c>
      <c r="K56" s="6">
        <v>53</v>
      </c>
      <c r="L56" s="8">
        <v>400</v>
      </c>
      <c r="M56" s="9"/>
      <c r="N56" s="10">
        <v>1</v>
      </c>
      <c r="O56" s="11">
        <v>4</v>
      </c>
      <c r="P56" s="12">
        <f t="shared" si="20"/>
        <v>37.5</v>
      </c>
      <c r="Q56" s="13">
        <v>40</v>
      </c>
      <c r="R56" s="14">
        <f t="shared" si="21"/>
        <v>4</v>
      </c>
      <c r="S56" s="11">
        <v>4</v>
      </c>
      <c r="T56" s="11">
        <v>4</v>
      </c>
      <c r="U56" s="9">
        <f t="shared" si="22"/>
        <v>6.15</v>
      </c>
      <c r="V56" s="11">
        <v>6</v>
      </c>
      <c r="W56" s="12">
        <f t="shared" si="23"/>
        <v>21.714285714285715</v>
      </c>
      <c r="X56" s="13">
        <v>20</v>
      </c>
      <c r="Y56" s="15"/>
    </row>
    <row r="57" spans="1:25" x14ac:dyDescent="0.3">
      <c r="A57" s="6" t="s">
        <v>65</v>
      </c>
      <c r="B57" s="17" t="s">
        <v>77</v>
      </c>
      <c r="C57" s="7" t="s">
        <v>78</v>
      </c>
      <c r="D57" s="6">
        <v>2500</v>
      </c>
      <c r="E57" s="6"/>
      <c r="F57" s="6">
        <v>28</v>
      </c>
      <c r="G57" s="6">
        <v>10</v>
      </c>
      <c r="H57" s="6">
        <v>30</v>
      </c>
      <c r="I57" s="6">
        <v>76</v>
      </c>
      <c r="J57" s="6">
        <v>1</v>
      </c>
      <c r="K57" s="6">
        <v>37</v>
      </c>
      <c r="L57" s="8">
        <v>220</v>
      </c>
      <c r="M57" s="9"/>
      <c r="N57" s="10">
        <v>1</v>
      </c>
      <c r="O57" s="11">
        <v>4</v>
      </c>
      <c r="P57" s="12">
        <f t="shared" si="20"/>
        <v>40</v>
      </c>
      <c r="Q57" s="13">
        <v>40</v>
      </c>
      <c r="R57" s="14">
        <f t="shared" si="21"/>
        <v>2</v>
      </c>
      <c r="S57" s="11">
        <v>2</v>
      </c>
      <c r="T57" s="11">
        <v>2</v>
      </c>
      <c r="U57" s="9">
        <f t="shared" si="22"/>
        <v>3.5500000000000003</v>
      </c>
      <c r="V57" s="11">
        <v>4</v>
      </c>
      <c r="W57" s="12">
        <f t="shared" si="23"/>
        <v>21.714285714285715</v>
      </c>
      <c r="X57" s="13">
        <v>20</v>
      </c>
      <c r="Y57" s="15"/>
    </row>
    <row r="58" spans="1:25" x14ac:dyDescent="0.3">
      <c r="A58" s="106" t="s">
        <v>65</v>
      </c>
      <c r="B58" s="107" t="s">
        <v>79</v>
      </c>
      <c r="C58" s="7" t="s">
        <v>53</v>
      </c>
      <c r="D58" s="6">
        <v>2500</v>
      </c>
      <c r="E58" s="6"/>
      <c r="F58" s="6">
        <v>45</v>
      </c>
      <c r="G58" s="6">
        <v>25</v>
      </c>
      <c r="H58" s="6">
        <v>90</v>
      </c>
      <c r="I58" s="6">
        <v>76</v>
      </c>
      <c r="J58" s="6">
        <v>1</v>
      </c>
      <c r="K58" s="6">
        <v>35</v>
      </c>
      <c r="L58" s="8">
        <v>335</v>
      </c>
      <c r="M58" s="9"/>
      <c r="N58" s="10">
        <v>1</v>
      </c>
      <c r="O58" s="11">
        <v>6</v>
      </c>
      <c r="P58" s="12">
        <f t="shared" si="20"/>
        <v>61.25</v>
      </c>
      <c r="Q58" s="13">
        <v>65</v>
      </c>
      <c r="R58" s="14">
        <f t="shared" si="21"/>
        <v>6</v>
      </c>
      <c r="S58" s="11">
        <v>6</v>
      </c>
      <c r="T58" s="11">
        <v>6</v>
      </c>
      <c r="U58" s="9">
        <f t="shared" si="22"/>
        <v>4.5999999999999996</v>
      </c>
      <c r="V58" s="11">
        <v>5</v>
      </c>
      <c r="W58" s="12">
        <f t="shared" si="23"/>
        <v>21.714285714285715</v>
      </c>
      <c r="X58" s="13">
        <v>20</v>
      </c>
      <c r="Y58" s="15"/>
    </row>
    <row r="59" spans="1:25" ht="28.8" x14ac:dyDescent="0.3">
      <c r="A59" s="6" t="s">
        <v>65</v>
      </c>
      <c r="B59" s="17" t="s">
        <v>80</v>
      </c>
      <c r="C59" s="18" t="s">
        <v>81</v>
      </c>
      <c r="D59" s="25">
        <v>2500</v>
      </c>
      <c r="E59" s="6"/>
      <c r="F59" s="6">
        <v>100</v>
      </c>
      <c r="G59" s="6">
        <v>40</v>
      </c>
      <c r="H59" s="6">
        <v>180</v>
      </c>
      <c r="I59" s="6">
        <v>107</v>
      </c>
      <c r="J59" s="6">
        <v>1</v>
      </c>
      <c r="K59" s="25">
        <v>30</v>
      </c>
      <c r="L59" s="26">
        <v>250</v>
      </c>
      <c r="M59" s="9"/>
      <c r="N59" s="10">
        <v>1</v>
      </c>
      <c r="O59" s="11">
        <v>8</v>
      </c>
      <c r="P59" s="12">
        <f t="shared" si="20"/>
        <v>130</v>
      </c>
      <c r="Q59" s="13">
        <v>65</v>
      </c>
      <c r="R59" s="14">
        <f t="shared" si="21"/>
        <v>12</v>
      </c>
      <c r="S59" s="11">
        <v>12</v>
      </c>
      <c r="T59" s="11">
        <v>12</v>
      </c>
      <c r="U59" s="9">
        <f t="shared" si="22"/>
        <v>3.5</v>
      </c>
      <c r="V59" s="11">
        <v>4</v>
      </c>
      <c r="W59" s="12">
        <f t="shared" si="23"/>
        <v>30.571428571428573</v>
      </c>
      <c r="X59" s="13">
        <v>20</v>
      </c>
      <c r="Y59" s="15"/>
    </row>
    <row r="60" spans="1:25" x14ac:dyDescent="0.3">
      <c r="A60" s="6" t="s">
        <v>65</v>
      </c>
      <c r="B60" s="17" t="s">
        <v>82</v>
      </c>
      <c r="C60" s="20">
        <v>1943</v>
      </c>
      <c r="D60" s="6"/>
      <c r="E60" s="6"/>
      <c r="F60" s="6">
        <v>46</v>
      </c>
      <c r="G60" s="6">
        <v>30</v>
      </c>
      <c r="H60" s="6">
        <v>160</v>
      </c>
      <c r="I60" s="6">
        <v>85</v>
      </c>
      <c r="J60" s="6">
        <v>1</v>
      </c>
      <c r="K60" s="6">
        <v>40</v>
      </c>
      <c r="L60" s="8">
        <v>250</v>
      </c>
      <c r="M60" s="9"/>
      <c r="N60" s="10">
        <v>1</v>
      </c>
      <c r="O60" s="11">
        <v>7</v>
      </c>
      <c r="P60" s="12">
        <f t="shared" si="20"/>
        <v>62.5</v>
      </c>
      <c r="Q60" s="13">
        <v>40</v>
      </c>
      <c r="R60" s="14">
        <f t="shared" si="21"/>
        <v>10.666666666666666</v>
      </c>
      <c r="S60" s="11">
        <v>11</v>
      </c>
      <c r="T60" s="11">
        <v>10</v>
      </c>
      <c r="U60" s="9">
        <f t="shared" si="22"/>
        <v>4</v>
      </c>
      <c r="V60" s="11">
        <v>4</v>
      </c>
      <c r="W60" s="12">
        <f t="shared" si="23"/>
        <v>24.285714285714285</v>
      </c>
      <c r="X60" s="13">
        <v>20</v>
      </c>
      <c r="Y60" s="15"/>
    </row>
    <row r="61" spans="1:25" x14ac:dyDescent="0.3">
      <c r="A61" s="6" t="s">
        <v>65</v>
      </c>
      <c r="B61" s="17" t="s">
        <v>83</v>
      </c>
      <c r="C61" s="20" t="s">
        <v>84</v>
      </c>
      <c r="D61" s="6"/>
      <c r="E61" s="6"/>
      <c r="F61" s="6">
        <v>43</v>
      </c>
      <c r="G61" s="6">
        <v>30</v>
      </c>
      <c r="H61" s="6">
        <v>120</v>
      </c>
      <c r="I61" s="6">
        <v>85</v>
      </c>
      <c r="J61" s="6">
        <v>1</v>
      </c>
      <c r="K61" s="6">
        <v>37</v>
      </c>
      <c r="L61" s="8">
        <v>150</v>
      </c>
      <c r="M61" s="9"/>
      <c r="N61" s="10">
        <v>1</v>
      </c>
      <c r="O61" s="11">
        <v>6</v>
      </c>
      <c r="P61" s="12">
        <f t="shared" si="20"/>
        <v>58.75</v>
      </c>
      <c r="Q61" s="13">
        <v>40</v>
      </c>
      <c r="R61" s="14">
        <f t="shared" si="21"/>
        <v>8</v>
      </c>
      <c r="S61" s="11">
        <v>8</v>
      </c>
      <c r="T61" s="11">
        <v>8</v>
      </c>
      <c r="U61" s="9">
        <f t="shared" si="22"/>
        <v>2.85</v>
      </c>
      <c r="V61" s="11">
        <v>3</v>
      </c>
      <c r="W61" s="12">
        <f t="shared" si="23"/>
        <v>24.285714285714285</v>
      </c>
      <c r="X61" s="13">
        <v>20</v>
      </c>
      <c r="Y61" s="15"/>
    </row>
    <row r="62" spans="1:25" x14ac:dyDescent="0.3">
      <c r="A62" s="6" t="s">
        <v>65</v>
      </c>
      <c r="B62" s="17" t="s">
        <v>85</v>
      </c>
      <c r="C62" s="20" t="s">
        <v>59</v>
      </c>
      <c r="D62" s="6"/>
      <c r="E62" s="6"/>
      <c r="F62" s="6">
        <v>46</v>
      </c>
      <c r="G62" s="6">
        <v>90</v>
      </c>
      <c r="H62" s="6">
        <v>155</v>
      </c>
      <c r="I62" s="6">
        <v>122</v>
      </c>
      <c r="J62" s="6">
        <v>1</v>
      </c>
      <c r="K62" s="6">
        <v>37</v>
      </c>
      <c r="L62" s="8">
        <v>240</v>
      </c>
      <c r="M62" s="9"/>
      <c r="N62" s="10">
        <v>1</v>
      </c>
      <c r="O62" s="11">
        <v>7</v>
      </c>
      <c r="P62" s="12">
        <f t="shared" si="20"/>
        <v>62.5</v>
      </c>
      <c r="Q62" s="13">
        <v>40</v>
      </c>
      <c r="R62" s="14">
        <f t="shared" si="21"/>
        <v>10.333333333333334</v>
      </c>
      <c r="S62" s="11">
        <v>10</v>
      </c>
      <c r="T62" s="11">
        <v>10</v>
      </c>
      <c r="U62" s="9">
        <f t="shared" si="22"/>
        <v>3.75</v>
      </c>
      <c r="V62" s="11">
        <v>4</v>
      </c>
      <c r="W62" s="12">
        <f t="shared" si="23"/>
        <v>34.857142857142854</v>
      </c>
      <c r="X62" s="13">
        <v>20</v>
      </c>
      <c r="Y62" s="15"/>
    </row>
    <row r="65" spans="1:25" x14ac:dyDescent="0.3">
      <c r="A65" s="6"/>
      <c r="B65" s="17"/>
      <c r="C65" s="17"/>
      <c r="D65" s="6"/>
      <c r="E65" s="6"/>
      <c r="F65" s="6"/>
      <c r="G65" s="6"/>
      <c r="H65" s="6"/>
      <c r="I65" s="6"/>
      <c r="J65" s="6"/>
      <c r="K65" s="6"/>
      <c r="L65" s="8"/>
      <c r="M65" s="9"/>
      <c r="N65" s="10"/>
      <c r="O65" s="11"/>
      <c r="P65" s="12"/>
      <c r="Q65" s="13"/>
      <c r="R65" s="14"/>
      <c r="S65" s="11"/>
      <c r="T65" s="11"/>
      <c r="U65" s="9"/>
      <c r="V65" s="11"/>
      <c r="W65" s="12"/>
      <c r="X65" s="13"/>
      <c r="Y65" s="15"/>
    </row>
    <row r="66" spans="1:25" x14ac:dyDescent="0.3">
      <c r="A66" s="27" t="s">
        <v>86</v>
      </c>
      <c r="D66" s="28"/>
      <c r="M66" s="9"/>
      <c r="N66" s="11"/>
      <c r="O66" s="11"/>
      <c r="P66" s="12"/>
      <c r="Q66" s="11"/>
      <c r="R66" s="14"/>
      <c r="S66" s="11"/>
      <c r="T66" s="11"/>
      <c r="U66" s="9"/>
      <c r="V66" s="11"/>
      <c r="W66" s="9"/>
      <c r="X66" s="11"/>
      <c r="Y66" s="15"/>
    </row>
    <row r="67" spans="1:25" x14ac:dyDescent="0.3">
      <c r="A67" s="6" t="s">
        <v>65</v>
      </c>
      <c r="B67" s="7" t="s">
        <v>327</v>
      </c>
      <c r="C67" s="7" t="s">
        <v>72</v>
      </c>
      <c r="D67" s="6" t="s">
        <v>68</v>
      </c>
      <c r="E67" s="6"/>
      <c r="F67" s="6">
        <v>9.6</v>
      </c>
      <c r="G67" s="6">
        <v>5</v>
      </c>
      <c r="H67" s="6">
        <v>15</v>
      </c>
      <c r="I67" s="6">
        <v>1</v>
      </c>
      <c r="J67" s="6">
        <v>1</v>
      </c>
      <c r="K67" s="6">
        <v>31</v>
      </c>
      <c r="L67" s="8">
        <v>240</v>
      </c>
      <c r="M67" s="9"/>
      <c r="N67" s="10">
        <v>1</v>
      </c>
      <c r="O67" s="11">
        <v>2</v>
      </c>
      <c r="P67" s="12">
        <f t="shared" ref="P67" si="24">5+F67*3/2.4</f>
        <v>17</v>
      </c>
      <c r="Q67" s="13">
        <v>18</v>
      </c>
      <c r="R67" s="14">
        <f t="shared" ref="R67" si="25">H67/15</f>
        <v>1</v>
      </c>
      <c r="S67" s="11">
        <v>1</v>
      </c>
      <c r="T67" s="11">
        <v>1</v>
      </c>
      <c r="U67" s="9">
        <f t="shared" ref="U67" si="26">(K67-10)/20+L67/100</f>
        <v>3.45</v>
      </c>
      <c r="V67" s="11">
        <v>4</v>
      </c>
      <c r="W67" s="12">
        <f t="shared" ref="W67" si="27">I67/3.5</f>
        <v>0.2857142857142857</v>
      </c>
      <c r="X67" s="13">
        <v>13</v>
      </c>
      <c r="Y67" s="15"/>
    </row>
    <row r="68" spans="1:25" x14ac:dyDescent="0.3">
      <c r="A68" s="6" t="s">
        <v>32</v>
      </c>
      <c r="B68" s="7" t="s">
        <v>87</v>
      </c>
      <c r="C68" s="20">
        <v>1943</v>
      </c>
      <c r="D68" s="6" t="s">
        <v>26</v>
      </c>
      <c r="E68" s="6"/>
      <c r="F68" s="6">
        <v>15</v>
      </c>
      <c r="G68" s="6">
        <v>10</v>
      </c>
      <c r="H68" s="6">
        <v>60</v>
      </c>
      <c r="I68" s="6">
        <v>1</v>
      </c>
      <c r="J68" s="6">
        <v>1</v>
      </c>
      <c r="K68" s="6">
        <v>58</v>
      </c>
      <c r="L68" s="8">
        <v>160</v>
      </c>
      <c r="M68" s="9"/>
      <c r="N68" s="10">
        <v>1</v>
      </c>
      <c r="O68" s="11">
        <v>4</v>
      </c>
      <c r="P68" s="12">
        <f>5+F68*3/2.4</f>
        <v>23.75</v>
      </c>
      <c r="Q68" s="13">
        <v>34</v>
      </c>
      <c r="R68" s="14">
        <f>H68/15</f>
        <v>4</v>
      </c>
      <c r="S68" s="11">
        <v>4</v>
      </c>
      <c r="T68" s="11">
        <v>4</v>
      </c>
      <c r="U68" s="9">
        <f>(K68-10)/20+L68/100</f>
        <v>4</v>
      </c>
      <c r="V68" s="11">
        <v>4</v>
      </c>
      <c r="W68" s="12">
        <f>I68/3.5</f>
        <v>0.2857142857142857</v>
      </c>
      <c r="X68" s="13">
        <v>10</v>
      </c>
      <c r="Y68" s="15"/>
    </row>
    <row r="69" spans="1:25" x14ac:dyDescent="0.3">
      <c r="A69" s="6" t="s">
        <v>44</v>
      </c>
      <c r="B69" t="s">
        <v>88</v>
      </c>
      <c r="C69" s="22" t="s">
        <v>36</v>
      </c>
      <c r="D69" s="6">
        <v>1</v>
      </c>
      <c r="E69" s="6"/>
      <c r="F69" s="6">
        <v>0.43</v>
      </c>
      <c r="G69" s="6">
        <v>10</v>
      </c>
      <c r="H69" s="6">
        <v>10</v>
      </c>
      <c r="I69" s="6">
        <v>0</v>
      </c>
      <c r="J69" s="6">
        <v>0</v>
      </c>
      <c r="K69" s="6">
        <v>9.6999999999999993</v>
      </c>
      <c r="L69" s="8">
        <v>12</v>
      </c>
      <c r="M69" s="9"/>
      <c r="N69" s="10">
        <v>1</v>
      </c>
      <c r="O69" s="11">
        <v>3</v>
      </c>
      <c r="P69" s="12">
        <f>5+F69*3/2.4</f>
        <v>5.5374999999999996</v>
      </c>
      <c r="Q69" s="13">
        <v>70</v>
      </c>
      <c r="R69" s="14">
        <f>H69/15</f>
        <v>0.66666666666666663</v>
      </c>
      <c r="S69" s="11">
        <v>0</v>
      </c>
      <c r="T69" s="11">
        <v>1</v>
      </c>
      <c r="U69" s="9">
        <f>(K69-10)/20+L69/100</f>
        <v>0.10499999999999995</v>
      </c>
      <c r="V69" s="11">
        <v>2</v>
      </c>
      <c r="W69" s="12">
        <f>I69/3.5</f>
        <v>0</v>
      </c>
      <c r="X69" s="13">
        <v>24</v>
      </c>
      <c r="Y69" s="15"/>
    </row>
    <row r="70" spans="1:25" x14ac:dyDescent="0.3">
      <c r="A70" s="11"/>
      <c r="C70" s="29"/>
      <c r="D70" s="11"/>
      <c r="E70" s="11"/>
      <c r="F70" s="11"/>
      <c r="G70" s="11"/>
      <c r="H70" s="11"/>
      <c r="I70" s="11"/>
      <c r="J70" s="11"/>
      <c r="K70" s="11"/>
      <c r="L70" s="11"/>
      <c r="M70" s="9"/>
      <c r="N70" s="10"/>
      <c r="O70" s="11"/>
      <c r="P70" s="12"/>
      <c r="Q70" s="30"/>
      <c r="R70" s="14"/>
      <c r="S70" s="11"/>
      <c r="T70" s="11"/>
      <c r="U70" s="9"/>
      <c r="V70" s="11"/>
      <c r="W70" s="12"/>
      <c r="X70" s="30"/>
      <c r="Y70" s="15"/>
    </row>
    <row r="71" spans="1:25" x14ac:dyDescent="0.3">
      <c r="A71" s="11"/>
      <c r="B71" s="29"/>
      <c r="C71" s="29"/>
      <c r="D71" s="11"/>
      <c r="E71" s="11"/>
      <c r="F71" s="11"/>
      <c r="G71" s="11"/>
      <c r="H71" s="11"/>
      <c r="I71" s="11"/>
      <c r="J71" s="11"/>
      <c r="K71" s="11"/>
      <c r="L71" s="11"/>
      <c r="M71" s="9"/>
      <c r="N71" s="10"/>
      <c r="O71" s="11"/>
      <c r="P71" s="12"/>
      <c r="Q71" s="30"/>
      <c r="R71" s="14"/>
      <c r="S71" s="11"/>
      <c r="T71" s="11"/>
      <c r="U71" s="9"/>
      <c r="V71" s="11"/>
      <c r="W71" s="12"/>
      <c r="X71" s="30"/>
      <c r="Y71" s="15"/>
    </row>
    <row r="73" spans="1:25" x14ac:dyDescent="0.3">
      <c r="A73" t="s">
        <v>180</v>
      </c>
    </row>
    <row r="74" spans="1:25" s="5" customFormat="1" x14ac:dyDescent="0.3">
      <c r="A74" s="106" t="s">
        <v>65</v>
      </c>
      <c r="B74" s="108" t="s">
        <v>181</v>
      </c>
      <c r="C74" s="18">
        <v>1941</v>
      </c>
      <c r="D74" s="6">
        <v>6000</v>
      </c>
      <c r="E74" s="6"/>
      <c r="F74" s="6">
        <v>5</v>
      </c>
      <c r="G74" s="6"/>
      <c r="H74" s="6" t="s">
        <v>182</v>
      </c>
      <c r="I74" s="6">
        <v>132</v>
      </c>
      <c r="J74" s="6"/>
      <c r="K74" s="6">
        <v>55</v>
      </c>
      <c r="L74" s="6"/>
      <c r="N74" s="11">
        <v>3</v>
      </c>
      <c r="O74" s="11"/>
      <c r="Q74" s="11"/>
      <c r="R74" s="11"/>
      <c r="S74" s="11"/>
      <c r="T74" s="11"/>
      <c r="U74" s="11"/>
      <c r="V74" s="11"/>
      <c r="W74" s="11"/>
      <c r="X74" s="11"/>
      <c r="Y74" s="33"/>
    </row>
    <row r="75" spans="1:25" s="5" customFormat="1" x14ac:dyDescent="0.3">
      <c r="A75" s="6" t="s">
        <v>32</v>
      </c>
      <c r="B75" s="17" t="s">
        <v>306</v>
      </c>
      <c r="C75" s="20" t="s">
        <v>109</v>
      </c>
      <c r="D75" s="6">
        <v>300</v>
      </c>
      <c r="E75" s="6"/>
      <c r="F75" s="6">
        <v>32</v>
      </c>
      <c r="G75" s="6">
        <v>12</v>
      </c>
      <c r="H75" s="6">
        <v>70</v>
      </c>
      <c r="I75" s="6">
        <v>75</v>
      </c>
      <c r="J75" s="6">
        <v>1</v>
      </c>
      <c r="K75" s="6">
        <v>48</v>
      </c>
      <c r="L75" s="8">
        <v>200</v>
      </c>
      <c r="M75" s="9"/>
      <c r="N75" s="10">
        <v>1</v>
      </c>
      <c r="O75" s="11">
        <v>4</v>
      </c>
      <c r="P75" s="12">
        <f t="shared" ref="P75" si="28">5+F75*3/2.4</f>
        <v>45</v>
      </c>
      <c r="Q75" s="13">
        <v>43</v>
      </c>
      <c r="R75" s="14">
        <f t="shared" ref="R75" si="29">H75/15</f>
        <v>4.666666666666667</v>
      </c>
      <c r="S75" s="11">
        <v>5</v>
      </c>
      <c r="T75" s="11">
        <v>4</v>
      </c>
      <c r="U75" s="9">
        <f t="shared" ref="U75" si="30">(K75-10)/20+L75/100</f>
        <v>3.9</v>
      </c>
      <c r="V75" s="11">
        <v>4</v>
      </c>
      <c r="W75" s="12">
        <f t="shared" ref="W75" si="31">I75/3.5</f>
        <v>21.428571428571427</v>
      </c>
      <c r="X75" s="13">
        <v>20</v>
      </c>
      <c r="Y75" s="15"/>
    </row>
    <row r="76" spans="1:25" x14ac:dyDescent="0.3">
      <c r="A76" s="6" t="s">
        <v>183</v>
      </c>
      <c r="B76" s="31" t="s">
        <v>184</v>
      </c>
      <c r="C76" s="31"/>
      <c r="D76" s="6">
        <v>300</v>
      </c>
      <c r="E76" s="6"/>
      <c r="F76" s="6" t="s">
        <v>185</v>
      </c>
      <c r="G76" s="6"/>
      <c r="H76" s="6"/>
      <c r="I76" s="6">
        <v>7.9</v>
      </c>
      <c r="J76" s="6"/>
      <c r="K76" s="6"/>
      <c r="L76" s="6"/>
      <c r="M76" s="5"/>
      <c r="N76" s="11">
        <v>1</v>
      </c>
      <c r="O76" s="11"/>
      <c r="P76" s="5"/>
      <c r="Q76" s="11"/>
      <c r="R76" s="11"/>
      <c r="S76" s="11"/>
      <c r="T76" s="11"/>
      <c r="U76" s="11"/>
      <c r="V76" s="11"/>
      <c r="W76" s="11"/>
      <c r="X76" s="11"/>
      <c r="Y76" s="33"/>
    </row>
    <row r="77" spans="1:25" x14ac:dyDescent="0.3">
      <c r="A77" s="6" t="s">
        <v>65</v>
      </c>
      <c r="B77" s="31" t="s">
        <v>184</v>
      </c>
      <c r="C77" s="31"/>
      <c r="D77" s="6">
        <v>300</v>
      </c>
      <c r="E77" s="6"/>
      <c r="F77" s="6" t="s">
        <v>186</v>
      </c>
      <c r="G77" s="6"/>
      <c r="H77" s="6"/>
      <c r="I77" s="6">
        <v>14.5</v>
      </c>
      <c r="J77" s="6"/>
      <c r="K77" s="6"/>
      <c r="L77" s="6"/>
      <c r="M77" s="5"/>
      <c r="P77" s="5"/>
    </row>
    <row r="78" spans="1:25" x14ac:dyDescent="0.3">
      <c r="B78" t="s">
        <v>187</v>
      </c>
    </row>
    <row r="79" spans="1:25" x14ac:dyDescent="0.3">
      <c r="B79" t="s">
        <v>188</v>
      </c>
    </row>
  </sheetData>
  <pageMargins left="0.7" right="0.7" top="1.14375" bottom="1.14375" header="0.51180555555555496" footer="0.51180555555555496"/>
  <pageSetup paperSize="9" firstPageNumber="0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"/>
  <sheetViews>
    <sheetView zoomScaleNormal="100" workbookViewId="0">
      <pane xSplit="2" ySplit="1" topLeftCell="M2" activePane="bottomRight" state="frozen"/>
      <selection pane="topRight" activeCell="C1" sqref="C1"/>
      <selection pane="bottomLeft" activeCell="A14" sqref="A14"/>
      <selection pane="bottomRight" activeCell="B15" sqref="B15"/>
    </sheetView>
  </sheetViews>
  <sheetFormatPr defaultRowHeight="14.4" x14ac:dyDescent="0.3"/>
  <cols>
    <col min="1" max="1" width="9.109375" customWidth="1"/>
    <col min="2" max="2" width="24.44140625" customWidth="1"/>
    <col min="3" max="5" width="11.5546875" customWidth="1"/>
    <col min="6" max="12" width="9.109375" customWidth="1"/>
    <col min="13" max="13" width="11.33203125" customWidth="1"/>
    <col min="14" max="15" width="9.109375" customWidth="1"/>
    <col min="16" max="16" width="9.33203125" customWidth="1"/>
    <col min="17" max="24" width="9.109375" customWidth="1"/>
    <col min="25" max="25" width="49.109375" customWidth="1"/>
    <col min="26" max="1025" width="9.109375" customWidth="1"/>
  </cols>
  <sheetData>
    <row r="1" spans="1:25" s="5" customFormat="1" ht="57.6" x14ac:dyDescent="0.3">
      <c r="A1" s="1"/>
      <c r="B1" s="2"/>
      <c r="C1" s="3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1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1" t="s">
        <v>11</v>
      </c>
      <c r="O1" s="1" t="s">
        <v>12</v>
      </c>
      <c r="P1" s="4" t="s">
        <v>13</v>
      </c>
      <c r="Q1" s="1" t="s">
        <v>14</v>
      </c>
      <c r="R1" s="4" t="s">
        <v>15</v>
      </c>
      <c r="S1" s="1" t="s">
        <v>16</v>
      </c>
      <c r="T1" s="1" t="s">
        <v>17</v>
      </c>
      <c r="U1" s="4" t="s">
        <v>18</v>
      </c>
      <c r="V1" s="1" t="s">
        <v>19</v>
      </c>
      <c r="W1" s="4" t="s">
        <v>20</v>
      </c>
      <c r="X1" s="1" t="s">
        <v>21</v>
      </c>
      <c r="Y1" s="1" t="s">
        <v>22</v>
      </c>
    </row>
    <row r="2" spans="1:25" x14ac:dyDescent="0.3">
      <c r="A2" t="s">
        <v>112</v>
      </c>
      <c r="D2" s="82" t="s">
        <v>374</v>
      </c>
    </row>
    <row r="3" spans="1:25" s="5" customFormat="1" ht="28.8" x14ac:dyDescent="0.3">
      <c r="A3" s="106" t="s">
        <v>32</v>
      </c>
      <c r="B3" s="107" t="s">
        <v>113</v>
      </c>
      <c r="C3" s="7" t="s">
        <v>114</v>
      </c>
      <c r="D3" s="6">
        <v>7000</v>
      </c>
      <c r="E3" s="6">
        <v>120</v>
      </c>
      <c r="F3" s="6">
        <v>2</v>
      </c>
      <c r="G3" s="6">
        <v>0</v>
      </c>
      <c r="H3" s="6">
        <v>0</v>
      </c>
      <c r="I3" s="6">
        <v>40</v>
      </c>
      <c r="J3" s="6">
        <v>1</v>
      </c>
      <c r="K3" s="6">
        <v>0</v>
      </c>
      <c r="L3" s="6">
        <v>0</v>
      </c>
      <c r="N3" s="11">
        <v>5</v>
      </c>
      <c r="O3" s="11">
        <v>2</v>
      </c>
      <c r="P3" s="12">
        <f t="shared" ref="P3:P12" si="0">5+F3*3/2.4</f>
        <v>7.5</v>
      </c>
      <c r="Q3" s="11">
        <v>12</v>
      </c>
      <c r="R3" s="14">
        <f t="shared" ref="R3:R12" si="1">H3/15</f>
        <v>0</v>
      </c>
      <c r="S3" s="11">
        <v>0</v>
      </c>
      <c r="T3" s="11">
        <v>0</v>
      </c>
      <c r="U3" s="9">
        <f t="shared" ref="U3:U12" si="2">(K3-10)/20+L3/100</f>
        <v>-0.5</v>
      </c>
      <c r="V3" s="11">
        <v>1</v>
      </c>
      <c r="W3" s="12">
        <f>I3*E3/500</f>
        <v>9.6</v>
      </c>
      <c r="X3" s="11">
        <v>2</v>
      </c>
      <c r="Y3" s="15" t="s">
        <v>115</v>
      </c>
    </row>
    <row r="4" spans="1:25" s="5" customFormat="1" x14ac:dyDescent="0.3">
      <c r="A4" s="6" t="s">
        <v>32</v>
      </c>
      <c r="B4" s="31" t="s">
        <v>116</v>
      </c>
      <c r="C4" s="31"/>
      <c r="D4" s="6">
        <v>12000</v>
      </c>
      <c r="E4" s="6">
        <v>330</v>
      </c>
      <c r="F4" s="6">
        <v>2</v>
      </c>
      <c r="G4" s="6">
        <v>0</v>
      </c>
      <c r="H4" s="6">
        <v>0</v>
      </c>
      <c r="I4" s="6">
        <v>40</v>
      </c>
      <c r="J4" s="6">
        <v>1</v>
      </c>
      <c r="K4" s="6">
        <v>0</v>
      </c>
      <c r="L4" s="6">
        <v>0</v>
      </c>
      <c r="N4" s="11">
        <v>6</v>
      </c>
      <c r="O4" s="11">
        <v>2</v>
      </c>
      <c r="P4" s="12">
        <f t="shared" si="0"/>
        <v>7.5</v>
      </c>
      <c r="Q4" s="11">
        <v>12</v>
      </c>
      <c r="R4" s="14">
        <f t="shared" si="1"/>
        <v>0</v>
      </c>
      <c r="S4" s="11">
        <v>0</v>
      </c>
      <c r="T4" s="11">
        <v>0</v>
      </c>
      <c r="U4" s="9">
        <f t="shared" si="2"/>
        <v>-0.5</v>
      </c>
      <c r="V4" s="11">
        <v>1</v>
      </c>
      <c r="W4" s="12">
        <f>I4*E4/500</f>
        <v>26.4</v>
      </c>
      <c r="X4" s="11">
        <v>2</v>
      </c>
      <c r="Y4" s="15" t="s">
        <v>117</v>
      </c>
    </row>
    <row r="5" spans="1:25" s="5" customFormat="1" ht="28.8" x14ac:dyDescent="0.3">
      <c r="A5" s="106" t="s">
        <v>27</v>
      </c>
      <c r="B5" s="107" t="s">
        <v>452</v>
      </c>
      <c r="C5" s="7" t="s">
        <v>451</v>
      </c>
      <c r="D5" s="6">
        <v>13700</v>
      </c>
      <c r="E5" s="6">
        <v>20</v>
      </c>
      <c r="F5" s="6">
        <v>9.3000000000000007</v>
      </c>
      <c r="G5" s="6">
        <v>0</v>
      </c>
      <c r="H5" s="6">
        <v>0</v>
      </c>
      <c r="I5" s="6">
        <v>94</v>
      </c>
      <c r="J5" s="6">
        <v>1</v>
      </c>
      <c r="K5" s="6">
        <v>0</v>
      </c>
      <c r="L5" s="6">
        <v>0</v>
      </c>
      <c r="N5" s="11">
        <v>7</v>
      </c>
      <c r="O5" s="11">
        <v>2</v>
      </c>
      <c r="P5" s="12">
        <f t="shared" ref="P5" si="3">5+F5*3/2.4</f>
        <v>16.625</v>
      </c>
      <c r="Q5" s="11">
        <v>17</v>
      </c>
      <c r="R5" s="14">
        <f t="shared" ref="R5" si="4">H5/15</f>
        <v>0</v>
      </c>
      <c r="S5" s="11">
        <v>0</v>
      </c>
      <c r="T5" s="11">
        <v>0</v>
      </c>
      <c r="U5" s="9">
        <f t="shared" ref="U5" si="5">(K5-10)/20+L5/100</f>
        <v>-0.5</v>
      </c>
      <c r="V5" s="11">
        <v>1</v>
      </c>
      <c r="W5" s="12">
        <f>I5*E5/100</f>
        <v>18.8</v>
      </c>
      <c r="X5" s="11">
        <v>2</v>
      </c>
      <c r="Y5" s="111" t="s">
        <v>453</v>
      </c>
    </row>
    <row r="6" spans="1:25" s="5" customFormat="1" ht="28.8" x14ac:dyDescent="0.3">
      <c r="A6" s="106" t="s">
        <v>65</v>
      </c>
      <c r="B6" s="107" t="s">
        <v>118</v>
      </c>
      <c r="C6" s="7" t="s">
        <v>119</v>
      </c>
      <c r="D6" s="6">
        <v>9300</v>
      </c>
      <c r="E6" s="6">
        <v>20</v>
      </c>
      <c r="F6" s="6">
        <v>3.6</v>
      </c>
      <c r="G6" s="6">
        <v>0</v>
      </c>
      <c r="H6" s="6">
        <v>0</v>
      </c>
      <c r="I6" s="6">
        <v>76</v>
      </c>
      <c r="J6" s="6">
        <v>1</v>
      </c>
      <c r="K6" s="6">
        <v>0</v>
      </c>
      <c r="L6" s="6">
        <v>0</v>
      </c>
      <c r="N6" s="11">
        <v>6</v>
      </c>
      <c r="O6" s="11">
        <v>3</v>
      </c>
      <c r="P6" s="12">
        <f t="shared" si="0"/>
        <v>9.5</v>
      </c>
      <c r="Q6" s="11">
        <v>15</v>
      </c>
      <c r="R6" s="14">
        <f t="shared" si="1"/>
        <v>0</v>
      </c>
      <c r="S6" s="11">
        <v>0</v>
      </c>
      <c r="T6" s="11">
        <v>0</v>
      </c>
      <c r="U6" s="9">
        <f t="shared" si="2"/>
        <v>-0.5</v>
      </c>
      <c r="V6" s="11">
        <v>1</v>
      </c>
      <c r="W6" s="12">
        <f>I6*E6/100</f>
        <v>15.2</v>
      </c>
      <c r="X6" s="11">
        <v>2</v>
      </c>
      <c r="Y6" s="15" t="s">
        <v>115</v>
      </c>
    </row>
    <row r="7" spans="1:25" s="5" customFormat="1" ht="28.8" x14ac:dyDescent="0.3">
      <c r="A7" s="6" t="s">
        <v>65</v>
      </c>
      <c r="B7" s="31" t="s">
        <v>120</v>
      </c>
      <c r="C7" s="7" t="s">
        <v>55</v>
      </c>
      <c r="D7" s="6">
        <v>10000</v>
      </c>
      <c r="E7" s="6">
        <v>12</v>
      </c>
      <c r="F7" s="6">
        <v>5</v>
      </c>
      <c r="G7" s="6">
        <v>0</v>
      </c>
      <c r="H7" s="6">
        <v>0</v>
      </c>
      <c r="I7" s="6">
        <v>85</v>
      </c>
      <c r="J7" s="6">
        <v>1</v>
      </c>
      <c r="K7" s="6">
        <v>0</v>
      </c>
      <c r="L7" s="6">
        <v>0</v>
      </c>
      <c r="N7" s="11">
        <v>6</v>
      </c>
      <c r="O7" s="11"/>
      <c r="P7" s="12">
        <f t="shared" si="0"/>
        <v>11.25</v>
      </c>
      <c r="Q7" s="11"/>
      <c r="R7" s="14">
        <f t="shared" si="1"/>
        <v>0</v>
      </c>
      <c r="S7" s="11"/>
      <c r="T7" s="11"/>
      <c r="U7" s="9">
        <f t="shared" si="2"/>
        <v>-0.5</v>
      </c>
      <c r="V7" s="11"/>
      <c r="W7" s="12">
        <f>I7*E7/100</f>
        <v>10.199999999999999</v>
      </c>
      <c r="X7" s="11"/>
      <c r="Y7" s="15"/>
    </row>
    <row r="8" spans="1:25" s="5" customFormat="1" x14ac:dyDescent="0.3">
      <c r="A8" s="106" t="s">
        <v>65</v>
      </c>
      <c r="B8" s="107" t="s">
        <v>121</v>
      </c>
      <c r="C8" s="18" t="s">
        <v>122</v>
      </c>
      <c r="D8" s="6">
        <v>2400</v>
      </c>
      <c r="E8" s="6">
        <v>240</v>
      </c>
      <c r="F8" s="6">
        <v>3</v>
      </c>
      <c r="G8" s="6">
        <v>0</v>
      </c>
      <c r="H8" s="6">
        <v>0</v>
      </c>
      <c r="I8" s="6">
        <v>25</v>
      </c>
      <c r="J8" s="6">
        <v>1</v>
      </c>
      <c r="K8" s="6">
        <v>47</v>
      </c>
      <c r="L8" s="6">
        <v>200</v>
      </c>
      <c r="N8" s="11">
        <v>3</v>
      </c>
      <c r="O8" s="11">
        <v>2</v>
      </c>
      <c r="P8" s="12">
        <f t="shared" si="0"/>
        <v>8.75</v>
      </c>
      <c r="Q8" s="11">
        <v>14</v>
      </c>
      <c r="R8" s="14">
        <f t="shared" si="1"/>
        <v>0</v>
      </c>
      <c r="S8" s="11">
        <v>1</v>
      </c>
      <c r="T8" s="11">
        <v>1</v>
      </c>
      <c r="U8" s="9">
        <f t="shared" si="2"/>
        <v>3.85</v>
      </c>
      <c r="V8" s="11">
        <v>4</v>
      </c>
      <c r="W8" s="12">
        <f>I8*E8/1000</f>
        <v>6</v>
      </c>
      <c r="X8" s="11">
        <v>4</v>
      </c>
      <c r="Y8" s="15" t="s">
        <v>123</v>
      </c>
    </row>
    <row r="9" spans="1:25" s="5" customFormat="1" x14ac:dyDescent="0.3">
      <c r="A9" s="6" t="s">
        <v>65</v>
      </c>
      <c r="B9" s="24" t="s">
        <v>124</v>
      </c>
      <c r="C9" s="20">
        <v>1943</v>
      </c>
      <c r="D9" s="6">
        <v>2000</v>
      </c>
      <c r="E9" s="6">
        <v>240</v>
      </c>
      <c r="F9" s="6">
        <v>9.3000000000000007</v>
      </c>
      <c r="G9" s="6">
        <v>10</v>
      </c>
      <c r="H9" s="6">
        <v>35</v>
      </c>
      <c r="I9" s="6">
        <v>25</v>
      </c>
      <c r="J9" s="6">
        <v>1</v>
      </c>
      <c r="K9" s="6">
        <v>45</v>
      </c>
      <c r="L9" s="6">
        <v>360</v>
      </c>
      <c r="N9" s="11">
        <v>3</v>
      </c>
      <c r="O9" s="11">
        <v>3</v>
      </c>
      <c r="P9" s="12">
        <f t="shared" si="0"/>
        <v>16.625</v>
      </c>
      <c r="Q9" s="11">
        <v>22</v>
      </c>
      <c r="R9" s="14">
        <f t="shared" si="1"/>
        <v>2.3333333333333335</v>
      </c>
      <c r="S9" s="11">
        <v>3</v>
      </c>
      <c r="T9" s="11">
        <v>2</v>
      </c>
      <c r="U9" s="9">
        <f t="shared" si="2"/>
        <v>5.35</v>
      </c>
      <c r="V9" s="11">
        <v>5</v>
      </c>
      <c r="W9" s="12">
        <f>I9*E9/1000</f>
        <v>6</v>
      </c>
      <c r="X9" s="11">
        <v>4</v>
      </c>
      <c r="Y9" s="15" t="s">
        <v>123</v>
      </c>
    </row>
    <row r="10" spans="1:25" s="5" customFormat="1" x14ac:dyDescent="0.3">
      <c r="A10" s="106" t="s">
        <v>44</v>
      </c>
      <c r="B10" s="107" t="s">
        <v>125</v>
      </c>
      <c r="C10" s="7" t="s">
        <v>126</v>
      </c>
      <c r="D10" s="6">
        <v>15000</v>
      </c>
      <c r="E10" s="6">
        <v>20</v>
      </c>
      <c r="F10" s="6">
        <v>7.4</v>
      </c>
      <c r="G10" s="6">
        <v>0</v>
      </c>
      <c r="H10" s="6">
        <v>0</v>
      </c>
      <c r="I10" s="6">
        <v>88</v>
      </c>
      <c r="J10" s="6">
        <v>1</v>
      </c>
      <c r="K10" s="6">
        <v>0</v>
      </c>
      <c r="L10" s="6">
        <v>0</v>
      </c>
      <c r="N10" s="11">
        <v>7</v>
      </c>
      <c r="O10" s="11">
        <v>3</v>
      </c>
      <c r="P10" s="12">
        <f t="shared" si="0"/>
        <v>14.250000000000002</v>
      </c>
      <c r="Q10" s="11">
        <v>15</v>
      </c>
      <c r="R10" s="14">
        <f t="shared" si="1"/>
        <v>0</v>
      </c>
      <c r="S10" s="11">
        <v>0</v>
      </c>
      <c r="T10" s="11">
        <v>0</v>
      </c>
      <c r="U10" s="9">
        <f t="shared" si="2"/>
        <v>-0.5</v>
      </c>
      <c r="V10" s="11">
        <v>1</v>
      </c>
      <c r="W10" s="12">
        <f>I10*E10/100</f>
        <v>17.600000000000001</v>
      </c>
      <c r="X10" s="11">
        <v>2</v>
      </c>
      <c r="Y10" s="15" t="s">
        <v>117</v>
      </c>
    </row>
    <row r="11" spans="1:25" s="5" customFormat="1" x14ac:dyDescent="0.3">
      <c r="A11" s="106" t="s">
        <v>32</v>
      </c>
      <c r="B11" s="107" t="s">
        <v>127</v>
      </c>
      <c r="C11" s="18" t="s">
        <v>36</v>
      </c>
      <c r="D11" s="6">
        <v>1800</v>
      </c>
      <c r="E11" s="6">
        <v>600</v>
      </c>
      <c r="F11" s="6">
        <v>9</v>
      </c>
      <c r="G11" s="6">
        <v>0</v>
      </c>
      <c r="H11" s="6">
        <v>0</v>
      </c>
      <c r="I11" s="6">
        <v>12</v>
      </c>
      <c r="J11" s="6">
        <v>4</v>
      </c>
      <c r="K11" s="6">
        <v>67</v>
      </c>
      <c r="L11" s="6">
        <v>282</v>
      </c>
      <c r="N11" s="11">
        <v>3</v>
      </c>
      <c r="O11" s="11">
        <v>2</v>
      </c>
      <c r="P11" s="12">
        <f t="shared" si="0"/>
        <v>16.25</v>
      </c>
      <c r="Q11" s="11">
        <v>15</v>
      </c>
      <c r="R11" s="14">
        <f t="shared" si="1"/>
        <v>0</v>
      </c>
      <c r="S11" s="11">
        <v>1</v>
      </c>
      <c r="T11" s="11">
        <v>1</v>
      </c>
      <c r="U11" s="9">
        <f t="shared" si="2"/>
        <v>5.67</v>
      </c>
      <c r="V11" s="11">
        <v>5</v>
      </c>
      <c r="W11" s="12">
        <f>I11*E11/1000</f>
        <v>7.2</v>
      </c>
      <c r="X11" s="11">
        <v>4</v>
      </c>
      <c r="Y11" s="15" t="s">
        <v>123</v>
      </c>
    </row>
    <row r="12" spans="1:25" s="5" customFormat="1" x14ac:dyDescent="0.3">
      <c r="A12" s="106" t="s">
        <v>44</v>
      </c>
      <c r="B12" s="107" t="s">
        <v>128</v>
      </c>
      <c r="C12" s="20" t="s">
        <v>109</v>
      </c>
      <c r="D12" s="6">
        <v>2200</v>
      </c>
      <c r="E12" s="6">
        <v>800</v>
      </c>
      <c r="F12" s="6">
        <v>22</v>
      </c>
      <c r="G12" s="6">
        <v>10</v>
      </c>
      <c r="H12" s="6">
        <v>80</v>
      </c>
      <c r="I12" s="6">
        <v>20</v>
      </c>
      <c r="J12" s="6">
        <v>4</v>
      </c>
      <c r="K12" s="6">
        <v>40</v>
      </c>
      <c r="L12" s="6">
        <v>200</v>
      </c>
      <c r="N12" s="11">
        <v>3</v>
      </c>
      <c r="O12" s="11">
        <v>3</v>
      </c>
      <c r="P12" s="12">
        <f t="shared" si="0"/>
        <v>32.5</v>
      </c>
      <c r="Q12" s="11">
        <v>33</v>
      </c>
      <c r="R12" s="14">
        <f t="shared" si="1"/>
        <v>5.333333333333333</v>
      </c>
      <c r="S12" s="11">
        <v>5</v>
      </c>
      <c r="T12" s="11">
        <v>5</v>
      </c>
      <c r="U12" s="9">
        <f t="shared" si="2"/>
        <v>3.5</v>
      </c>
      <c r="V12" s="11">
        <v>4</v>
      </c>
      <c r="W12" s="12">
        <f>I12*E12/1000</f>
        <v>16</v>
      </c>
      <c r="X12" s="11">
        <v>5</v>
      </c>
      <c r="Y12" s="15" t="s">
        <v>123</v>
      </c>
    </row>
    <row r="13" spans="1:25" s="5" customFormat="1" x14ac:dyDescent="0.3">
      <c r="A13" s="106" t="s">
        <v>24</v>
      </c>
      <c r="B13" s="107" t="s">
        <v>372</v>
      </c>
      <c r="C13" s="7" t="s">
        <v>197</v>
      </c>
      <c r="D13" s="6">
        <v>9098</v>
      </c>
      <c r="E13" s="6">
        <v>20</v>
      </c>
      <c r="F13" s="6">
        <v>2.4</v>
      </c>
      <c r="G13" s="6">
        <v>0</v>
      </c>
      <c r="H13" s="6">
        <v>0</v>
      </c>
      <c r="I13" s="6">
        <v>75</v>
      </c>
      <c r="J13" s="6">
        <v>1</v>
      </c>
      <c r="K13" s="6">
        <v>0</v>
      </c>
      <c r="L13" s="6">
        <v>0</v>
      </c>
      <c r="N13" s="11">
        <v>6</v>
      </c>
      <c r="O13" s="11">
        <v>2</v>
      </c>
      <c r="P13" s="12">
        <f t="shared" ref="P13" si="6">5+F13*3/2.4</f>
        <v>8</v>
      </c>
      <c r="Q13" s="11">
        <v>12</v>
      </c>
      <c r="R13" s="14">
        <f t="shared" ref="R13" si="7">H13/15</f>
        <v>0</v>
      </c>
      <c r="S13" s="11">
        <v>0</v>
      </c>
      <c r="T13" s="11">
        <v>0</v>
      </c>
      <c r="U13" s="9">
        <f t="shared" ref="U13" si="8">(K13-10)/20+L13/100</f>
        <v>-0.5</v>
      </c>
      <c r="V13" s="11">
        <v>1</v>
      </c>
      <c r="W13" s="12">
        <f>I13*E13/100</f>
        <v>15</v>
      </c>
      <c r="X13" s="11">
        <v>2</v>
      </c>
      <c r="Y13" s="15" t="s">
        <v>115</v>
      </c>
    </row>
    <row r="14" spans="1:25" s="5" customFormat="1" x14ac:dyDescent="0.3">
      <c r="A14" s="6" t="s">
        <v>24</v>
      </c>
      <c r="B14" s="7" t="s">
        <v>373</v>
      </c>
      <c r="C14" s="7" t="s">
        <v>55</v>
      </c>
      <c r="D14" s="6">
        <v>15000</v>
      </c>
      <c r="E14" s="6">
        <v>15</v>
      </c>
      <c r="F14" s="6">
        <v>6.5</v>
      </c>
      <c r="G14" s="6">
        <v>0</v>
      </c>
      <c r="H14" s="6">
        <v>0</v>
      </c>
      <c r="I14" s="6">
        <v>88</v>
      </c>
      <c r="J14" s="6">
        <v>1</v>
      </c>
      <c r="K14" s="6">
        <v>0</v>
      </c>
      <c r="L14" s="6">
        <v>0</v>
      </c>
      <c r="N14" s="11">
        <v>7</v>
      </c>
      <c r="O14" s="11">
        <v>3</v>
      </c>
      <c r="P14" s="12">
        <f t="shared" ref="P14" si="9">5+F14*3/2.4</f>
        <v>13.125</v>
      </c>
      <c r="Q14" s="11">
        <v>15</v>
      </c>
      <c r="R14" s="14">
        <f t="shared" ref="R14" si="10">H14/15</f>
        <v>0</v>
      </c>
      <c r="S14" s="11">
        <v>0</v>
      </c>
      <c r="T14" s="11">
        <v>0</v>
      </c>
      <c r="U14" s="9">
        <f t="shared" ref="U14" si="11">(K14-10)/20+L14/100</f>
        <v>-0.5</v>
      </c>
      <c r="V14" s="11">
        <v>1</v>
      </c>
      <c r="W14" s="12">
        <f>I14*E14/100</f>
        <v>13.2</v>
      </c>
      <c r="X14" s="11">
        <v>2</v>
      </c>
      <c r="Y14" s="15" t="s">
        <v>115</v>
      </c>
    </row>
    <row r="15" spans="1:25" x14ac:dyDescent="0.3">
      <c r="A15" s="6"/>
      <c r="B15" s="31"/>
      <c r="C15" s="31"/>
      <c r="D15" s="6"/>
      <c r="E15" s="6"/>
      <c r="F15" s="6"/>
      <c r="G15" s="6"/>
      <c r="H15" s="6"/>
      <c r="I15" s="6"/>
      <c r="J15" s="6"/>
      <c r="K15" s="6"/>
      <c r="L15" s="6"/>
      <c r="M15" s="5"/>
      <c r="N15" s="11"/>
      <c r="O15" s="11"/>
      <c r="P15" s="12"/>
      <c r="Q15" s="11"/>
      <c r="R15" s="11"/>
      <c r="S15" s="11"/>
      <c r="T15" s="11"/>
      <c r="U15" s="11"/>
      <c r="V15" s="11"/>
      <c r="W15" s="11"/>
      <c r="X15" s="11"/>
      <c r="Y15" s="15"/>
    </row>
  </sheetData>
  <pageMargins left="0.7" right="0.7" top="1.14375" bottom="1.14375" header="0.51180555555555496" footer="0.51180555555555496"/>
  <pageSetup paperSize="9" firstPageNumber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Q62"/>
  <sheetViews>
    <sheetView zoomScaleNormal="100" workbookViewId="0">
      <pane xSplit="2" ySplit="1" topLeftCell="S32" activePane="bottomRight" state="frozen"/>
      <selection pane="topRight" activeCell="C1" sqref="C1"/>
      <selection pane="bottomLeft" activeCell="A2" sqref="A2"/>
      <selection pane="bottomRight" activeCell="Y37" sqref="Y37"/>
    </sheetView>
  </sheetViews>
  <sheetFormatPr defaultRowHeight="14.4" x14ac:dyDescent="0.3"/>
  <cols>
    <col min="1" max="1" width="9.5546875" style="6" customWidth="1"/>
    <col min="2" max="2" width="31.109375" style="5" customWidth="1"/>
    <col min="3" max="3" width="11.6640625" style="6" customWidth="1"/>
    <col min="4" max="4" width="38.109375" style="5" customWidth="1"/>
    <col min="5" max="5" width="12" style="5" customWidth="1"/>
    <col min="6" max="6" width="10.33203125" style="5" customWidth="1"/>
    <col min="7" max="7" width="15" style="6" customWidth="1"/>
    <col min="8" max="11" width="6.77734375" style="90" customWidth="1"/>
    <col min="12" max="13" width="7.44140625" style="6" customWidth="1"/>
    <col min="14" max="15" width="5.44140625" style="6" customWidth="1"/>
    <col min="16" max="16" width="6.77734375" style="6" customWidth="1"/>
    <col min="17" max="17" width="4.77734375" style="6" customWidth="1"/>
    <col min="18" max="20" width="9.5546875" style="6" customWidth="1"/>
    <col min="21" max="21" width="6.44140625" style="6" customWidth="1"/>
    <col min="22" max="22" width="9.5546875" style="6" customWidth="1"/>
    <col min="23" max="23" width="6.44140625" style="6" customWidth="1"/>
    <col min="24" max="24" width="9.5546875" style="6" customWidth="1"/>
    <col min="25" max="25" width="7" style="6" customWidth="1"/>
    <col min="26" max="26" width="5.88671875" style="8" customWidth="1"/>
    <col min="27" max="30" width="5.5546875" style="92" customWidth="1"/>
    <col min="31" max="31" width="48.21875" style="95" customWidth="1"/>
    <col min="32" max="1031" width="9.5546875" style="5" customWidth="1"/>
    <col min="1032" max="1033" width="9.5546875" customWidth="1"/>
  </cols>
  <sheetData>
    <row r="1" spans="1:32" ht="63" customHeight="1" x14ac:dyDescent="0.3">
      <c r="A1" s="1"/>
      <c r="B1" s="2" t="s">
        <v>189</v>
      </c>
      <c r="C1" s="3" t="s">
        <v>0</v>
      </c>
      <c r="D1" s="42" t="s">
        <v>394</v>
      </c>
      <c r="E1" s="42" t="s">
        <v>191</v>
      </c>
      <c r="F1" s="42" t="s">
        <v>7</v>
      </c>
      <c r="G1" s="4" t="s">
        <v>192</v>
      </c>
      <c r="H1" s="84" t="s">
        <v>408</v>
      </c>
      <c r="I1" s="84" t="s">
        <v>409</v>
      </c>
      <c r="J1" s="84" t="s">
        <v>410</v>
      </c>
      <c r="K1" s="84" t="s">
        <v>411</v>
      </c>
      <c r="L1" s="4" t="s">
        <v>428</v>
      </c>
      <c r="M1" s="4" t="s">
        <v>193</v>
      </c>
      <c r="N1" s="4" t="s">
        <v>436</v>
      </c>
      <c r="O1" s="4" t="s">
        <v>194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18</v>
      </c>
      <c r="W1" s="1" t="s">
        <v>19</v>
      </c>
      <c r="X1" s="1" t="s">
        <v>20</v>
      </c>
      <c r="Y1" s="1" t="s">
        <v>21</v>
      </c>
      <c r="Z1" s="93" t="s">
        <v>195</v>
      </c>
      <c r="AA1" s="91" t="s">
        <v>404</v>
      </c>
      <c r="AB1" s="91" t="s">
        <v>405</v>
      </c>
      <c r="AC1" s="91" t="s">
        <v>406</v>
      </c>
      <c r="AD1" s="91" t="s">
        <v>407</v>
      </c>
      <c r="AE1" s="94" t="s">
        <v>22</v>
      </c>
      <c r="AF1" s="99" t="s">
        <v>421</v>
      </c>
    </row>
    <row r="2" spans="1:32" x14ac:dyDescent="0.3">
      <c r="A2" s="83" t="s">
        <v>383</v>
      </c>
      <c r="B2" s="31"/>
      <c r="D2" s="50"/>
      <c r="E2" s="31"/>
      <c r="F2" s="31"/>
      <c r="H2" s="85"/>
      <c r="I2" s="85"/>
      <c r="J2" s="85"/>
      <c r="K2" s="85"/>
      <c r="L2" s="6" t="s">
        <v>342</v>
      </c>
      <c r="N2" s="6" t="s">
        <v>342</v>
      </c>
      <c r="O2" s="45"/>
      <c r="P2" s="11"/>
      <c r="Q2" s="11"/>
      <c r="R2" s="51"/>
      <c r="S2" s="13"/>
      <c r="T2" s="45"/>
      <c r="U2" s="11"/>
      <c r="V2" s="48"/>
      <c r="W2" s="11"/>
      <c r="X2" s="51"/>
      <c r="Y2" s="13"/>
      <c r="Z2" s="11"/>
      <c r="AE2" s="33"/>
    </row>
    <row r="3" spans="1:32" ht="20.399999999999999" x14ac:dyDescent="0.3">
      <c r="A3" s="104" t="s">
        <v>32</v>
      </c>
      <c r="B3" s="105" t="s">
        <v>196</v>
      </c>
      <c r="C3" s="101" t="s">
        <v>197</v>
      </c>
      <c r="D3" s="44" t="s">
        <v>384</v>
      </c>
      <c r="E3" s="31">
        <v>203</v>
      </c>
      <c r="F3" s="31">
        <v>4</v>
      </c>
      <c r="G3" s="6">
        <v>27000</v>
      </c>
      <c r="H3" s="85">
        <f>127*12</f>
        <v>1524</v>
      </c>
      <c r="I3" s="85">
        <v>15000</v>
      </c>
      <c r="J3" s="85">
        <v>0</v>
      </c>
      <c r="K3" s="85">
        <v>0</v>
      </c>
      <c r="L3" s="6">
        <v>37000</v>
      </c>
      <c r="M3" s="6">
        <v>180</v>
      </c>
      <c r="N3" s="6">
        <v>61</v>
      </c>
      <c r="O3" s="45">
        <f>G3/4000</f>
        <v>6.75</v>
      </c>
      <c r="P3" s="46">
        <v>7</v>
      </c>
      <c r="Q3" s="46">
        <v>14</v>
      </c>
      <c r="R3" s="47">
        <f t="shared" ref="R3:R29" si="0">L3/20</f>
        <v>1850</v>
      </c>
      <c r="S3" s="13">
        <v>1500</v>
      </c>
      <c r="T3" s="45">
        <f t="shared" ref="T3:T29" si="1">M3/30</f>
        <v>6</v>
      </c>
      <c r="U3" s="46">
        <v>6</v>
      </c>
      <c r="V3" s="48">
        <f t="shared" ref="V3:V29" si="2">N3/10</f>
        <v>6.1</v>
      </c>
      <c r="W3" s="46">
        <v>6</v>
      </c>
      <c r="X3" s="47">
        <f>E3/10</f>
        <v>20.3</v>
      </c>
      <c r="Y3" s="13">
        <v>15</v>
      </c>
      <c r="Z3" s="46">
        <v>2</v>
      </c>
      <c r="AA3" s="96">
        <v>7</v>
      </c>
      <c r="AB3" s="97">
        <f t="shared" ref="AB3:AB7" si="3">H3/300</f>
        <v>5.08</v>
      </c>
      <c r="AC3" s="96"/>
      <c r="AD3" s="97"/>
      <c r="AE3" s="49" t="s">
        <v>198</v>
      </c>
      <c r="AF3" s="5" t="s">
        <v>412</v>
      </c>
    </row>
    <row r="4" spans="1:32" ht="20.399999999999999" x14ac:dyDescent="0.3">
      <c r="A4" s="104" t="s">
        <v>27</v>
      </c>
      <c r="B4" s="105" t="s">
        <v>418</v>
      </c>
      <c r="C4" s="6" t="s">
        <v>419</v>
      </c>
      <c r="D4" s="44" t="s">
        <v>420</v>
      </c>
      <c r="E4" s="31">
        <v>113</v>
      </c>
      <c r="F4" s="31">
        <v>16</v>
      </c>
      <c r="G4" s="6">
        <v>19000</v>
      </c>
      <c r="H4" s="85">
        <f>40*6*8</f>
        <v>1920</v>
      </c>
      <c r="I4" s="85">
        <v>6200</v>
      </c>
      <c r="J4" s="85">
        <v>0</v>
      </c>
      <c r="K4" s="85">
        <v>0</v>
      </c>
      <c r="L4" s="6">
        <v>23000</v>
      </c>
      <c r="M4" s="6">
        <v>114</v>
      </c>
      <c r="N4" s="6">
        <v>56</v>
      </c>
      <c r="O4" s="45">
        <f>G4/4000</f>
        <v>4.75</v>
      </c>
      <c r="P4" s="46">
        <v>5</v>
      </c>
      <c r="Q4" s="46">
        <v>8</v>
      </c>
      <c r="R4" s="47">
        <f t="shared" ref="R4" si="4">L4/20</f>
        <v>1150</v>
      </c>
      <c r="S4" s="13">
        <v>1500</v>
      </c>
      <c r="T4" s="45">
        <f t="shared" ref="T4" si="5">M4/30</f>
        <v>3.8</v>
      </c>
      <c r="U4" s="46">
        <v>4</v>
      </c>
      <c r="V4" s="48">
        <f t="shared" ref="V4" si="6">N4/10</f>
        <v>5.6</v>
      </c>
      <c r="W4" s="46">
        <v>6</v>
      </c>
      <c r="X4" s="47">
        <f>E4/10</f>
        <v>11.3</v>
      </c>
      <c r="Y4" s="13">
        <v>15</v>
      </c>
      <c r="Z4" s="46">
        <v>2</v>
      </c>
      <c r="AA4" s="96">
        <v>5</v>
      </c>
      <c r="AB4" s="97">
        <f t="shared" ref="AB4" si="7">H4/300</f>
        <v>6.4</v>
      </c>
      <c r="AC4" s="96"/>
      <c r="AD4" s="97"/>
      <c r="AE4" s="49" t="s">
        <v>198</v>
      </c>
      <c r="AF4" s="5" t="s">
        <v>413</v>
      </c>
    </row>
    <row r="5" spans="1:32" ht="20.399999999999999" x14ac:dyDescent="0.3">
      <c r="A5" s="104" t="s">
        <v>24</v>
      </c>
      <c r="B5" s="105" t="s">
        <v>345</v>
      </c>
      <c r="C5" s="101" t="s">
        <v>330</v>
      </c>
      <c r="D5" s="44" t="s">
        <v>385</v>
      </c>
      <c r="E5" s="31">
        <v>127</v>
      </c>
      <c r="F5" s="31">
        <v>6</v>
      </c>
      <c r="G5" s="6">
        <v>14800</v>
      </c>
      <c r="H5" s="85">
        <f>14*25</f>
        <v>350</v>
      </c>
      <c r="I5" s="85">
        <v>5500</v>
      </c>
      <c r="J5" s="85">
        <v>0</v>
      </c>
      <c r="K5" s="85">
        <v>0</v>
      </c>
      <c r="L5" s="6">
        <v>19000</v>
      </c>
      <c r="M5" s="6">
        <v>100</v>
      </c>
      <c r="N5" s="6">
        <v>63</v>
      </c>
      <c r="O5" s="45">
        <f t="shared" ref="O5:O21" si="8">G5/4000</f>
        <v>3.7</v>
      </c>
      <c r="P5" s="46">
        <v>4</v>
      </c>
      <c r="Q5" s="46">
        <v>8</v>
      </c>
      <c r="R5" s="47">
        <f t="shared" ref="R5:R21" si="9">L5/20</f>
        <v>950</v>
      </c>
      <c r="S5" s="13">
        <v>1500</v>
      </c>
      <c r="T5" s="45">
        <f t="shared" ref="T5:T21" si="10">M5/30</f>
        <v>3.3333333333333335</v>
      </c>
      <c r="U5" s="46">
        <v>3</v>
      </c>
      <c r="V5" s="48">
        <f t="shared" ref="V5:V21" si="11">N5/10</f>
        <v>6.3</v>
      </c>
      <c r="W5" s="46">
        <v>6</v>
      </c>
      <c r="X5" s="47">
        <f>E5/10</f>
        <v>12.7</v>
      </c>
      <c r="Y5" s="13">
        <v>15</v>
      </c>
      <c r="Z5" s="46">
        <v>2</v>
      </c>
      <c r="AA5" s="96">
        <v>4</v>
      </c>
      <c r="AB5" s="97">
        <f t="shared" si="3"/>
        <v>1.1666666666666667</v>
      </c>
      <c r="AC5" s="96"/>
      <c r="AD5" s="97"/>
      <c r="AE5" s="49" t="s">
        <v>198</v>
      </c>
      <c r="AF5" s="5" t="s">
        <v>414</v>
      </c>
    </row>
    <row r="6" spans="1:32" ht="28.8" x14ac:dyDescent="0.3">
      <c r="A6" s="104" t="s">
        <v>65</v>
      </c>
      <c r="B6" s="105" t="s">
        <v>444</v>
      </c>
      <c r="C6" s="101"/>
      <c r="D6" s="44"/>
      <c r="E6" s="31"/>
      <c r="F6" s="31"/>
      <c r="H6" s="85"/>
      <c r="I6" s="85"/>
      <c r="J6" s="85"/>
      <c r="K6" s="85"/>
      <c r="O6" s="45"/>
      <c r="P6" s="46"/>
      <c r="Q6" s="46"/>
      <c r="R6" s="47"/>
      <c r="S6" s="13"/>
      <c r="T6" s="45"/>
      <c r="U6" s="46"/>
      <c r="V6" s="48"/>
      <c r="W6" s="46"/>
      <c r="X6" s="47"/>
      <c r="Y6" s="13"/>
      <c r="Z6" s="46"/>
      <c r="AA6" s="96"/>
      <c r="AB6" s="97"/>
      <c r="AC6" s="96"/>
      <c r="AD6" s="97"/>
      <c r="AE6" s="49"/>
    </row>
    <row r="7" spans="1:32" ht="40.799999999999997" x14ac:dyDescent="0.3">
      <c r="A7" s="104" t="s">
        <v>44</v>
      </c>
      <c r="B7" s="105" t="s">
        <v>208</v>
      </c>
      <c r="C7" s="6" t="s">
        <v>209</v>
      </c>
      <c r="D7" s="44" t="s">
        <v>386</v>
      </c>
      <c r="E7" s="31">
        <v>150</v>
      </c>
      <c r="F7" s="31">
        <v>16</v>
      </c>
      <c r="G7" s="6">
        <v>23000</v>
      </c>
      <c r="H7" s="85">
        <f>12*105</f>
        <v>1260</v>
      </c>
      <c r="I7" s="85">
        <v>15000</v>
      </c>
      <c r="J7" s="85">
        <f>22*37+28*20</f>
        <v>1374</v>
      </c>
      <c r="K7" s="85">
        <v>7000</v>
      </c>
      <c r="L7" s="6">
        <v>33000</v>
      </c>
      <c r="M7" s="6">
        <v>100</v>
      </c>
      <c r="N7" s="6">
        <v>65</v>
      </c>
      <c r="O7" s="45">
        <f>G7/4000</f>
        <v>5.75</v>
      </c>
      <c r="P7" s="46">
        <v>6</v>
      </c>
      <c r="Q7" s="46">
        <v>12</v>
      </c>
      <c r="R7" s="47">
        <f>L7/20</f>
        <v>1650</v>
      </c>
      <c r="S7" s="13">
        <v>1320</v>
      </c>
      <c r="T7" s="45">
        <f>M7/30</f>
        <v>3.3333333333333335</v>
      </c>
      <c r="U7" s="46">
        <v>3</v>
      </c>
      <c r="V7" s="48">
        <f>N7/10</f>
        <v>6.5</v>
      </c>
      <c r="W7" s="46">
        <v>6</v>
      </c>
      <c r="X7" s="47">
        <f>E7/10</f>
        <v>15</v>
      </c>
      <c r="Y7" s="13">
        <v>15</v>
      </c>
      <c r="Z7" s="46">
        <v>2</v>
      </c>
      <c r="AA7" s="96">
        <v>7</v>
      </c>
      <c r="AB7" s="97">
        <f t="shared" si="3"/>
        <v>4.2</v>
      </c>
      <c r="AC7" s="96">
        <v>5</v>
      </c>
      <c r="AD7" s="97">
        <f t="shared" ref="AD7" si="12">J7/300</f>
        <v>4.58</v>
      </c>
      <c r="AE7" s="49" t="s">
        <v>198</v>
      </c>
      <c r="AF7" s="5" t="s">
        <v>412</v>
      </c>
    </row>
    <row r="8" spans="1:32" x14ac:dyDescent="0.3">
      <c r="A8" s="6" t="s">
        <v>382</v>
      </c>
      <c r="B8" s="31"/>
      <c r="D8" s="50"/>
      <c r="E8" s="31"/>
      <c r="F8" s="31"/>
      <c r="H8" s="85"/>
      <c r="I8" s="85"/>
      <c r="J8" s="85"/>
      <c r="K8" s="85"/>
      <c r="L8" s="6" t="s">
        <v>342</v>
      </c>
      <c r="N8" s="6" t="s">
        <v>342</v>
      </c>
      <c r="O8" s="45"/>
      <c r="P8" s="11"/>
      <c r="Q8" s="11"/>
      <c r="R8" s="51"/>
      <c r="S8" s="13"/>
      <c r="T8" s="45"/>
      <c r="U8" s="11"/>
      <c r="V8" s="48"/>
      <c r="W8" s="11"/>
      <c r="X8" s="51"/>
      <c r="Y8" s="13"/>
      <c r="Z8" s="11"/>
      <c r="AE8" s="33"/>
    </row>
    <row r="9" spans="1:32" ht="40.799999999999997" x14ac:dyDescent="0.3">
      <c r="A9" s="104" t="s">
        <v>32</v>
      </c>
      <c r="B9" s="105" t="s">
        <v>202</v>
      </c>
      <c r="C9" s="101" t="s">
        <v>203</v>
      </c>
      <c r="D9" s="44" t="s">
        <v>387</v>
      </c>
      <c r="E9" s="31">
        <v>305</v>
      </c>
      <c r="F9" s="31">
        <v>12</v>
      </c>
      <c r="G9" s="6">
        <v>23000</v>
      </c>
      <c r="H9" s="85">
        <f>4*3*47</f>
        <v>564</v>
      </c>
      <c r="I9" s="85">
        <v>6500</v>
      </c>
      <c r="J9" s="85">
        <v>0</v>
      </c>
      <c r="K9" s="85">
        <v>0</v>
      </c>
      <c r="L9" s="6">
        <v>26000</v>
      </c>
      <c r="M9" s="6">
        <v>300</v>
      </c>
      <c r="N9" s="6">
        <v>40</v>
      </c>
      <c r="O9" s="45">
        <f>G9/4000</f>
        <v>5.75</v>
      </c>
      <c r="P9" s="46">
        <v>6</v>
      </c>
      <c r="Q9" s="46">
        <v>11</v>
      </c>
      <c r="R9" s="47">
        <f>L9/20</f>
        <v>1300</v>
      </c>
      <c r="S9" s="13">
        <v>1000</v>
      </c>
      <c r="T9" s="45">
        <f>M9/30</f>
        <v>10</v>
      </c>
      <c r="U9" s="46">
        <v>10</v>
      </c>
      <c r="V9" s="48">
        <f>N9/10</f>
        <v>4</v>
      </c>
      <c r="W9" s="46">
        <v>4</v>
      </c>
      <c r="X9" s="47">
        <f>E9/10</f>
        <v>30.5</v>
      </c>
      <c r="Y9" s="13">
        <v>35</v>
      </c>
      <c r="Z9" s="46">
        <v>2</v>
      </c>
      <c r="AA9" s="96">
        <v>5</v>
      </c>
      <c r="AB9" s="97">
        <f t="shared" ref="AB9:AB13" si="13">H9/300</f>
        <v>1.88</v>
      </c>
      <c r="AC9" s="96"/>
      <c r="AD9" s="97"/>
      <c r="AE9" s="49" t="s">
        <v>204</v>
      </c>
      <c r="AF9" s="5" t="s">
        <v>414</v>
      </c>
    </row>
    <row r="10" spans="1:32" ht="40.799999999999997" x14ac:dyDescent="0.3">
      <c r="A10" s="104" t="s">
        <v>27</v>
      </c>
      <c r="B10" s="105" t="s">
        <v>422</v>
      </c>
      <c r="C10" s="101" t="s">
        <v>423</v>
      </c>
      <c r="D10" s="44" t="s">
        <v>424</v>
      </c>
      <c r="E10" s="31">
        <v>356</v>
      </c>
      <c r="F10" s="100">
        <v>16</v>
      </c>
      <c r="G10" s="6">
        <v>35000</v>
      </c>
      <c r="H10" s="85">
        <f>40*64+10*40</f>
        <v>2960</v>
      </c>
      <c r="I10" s="85">
        <v>7000</v>
      </c>
      <c r="J10" s="85">
        <v>0</v>
      </c>
      <c r="K10" s="85">
        <v>0</v>
      </c>
      <c r="L10" s="6">
        <v>43000</v>
      </c>
      <c r="M10" s="6">
        <v>373</v>
      </c>
      <c r="N10" s="6">
        <v>52.5</v>
      </c>
      <c r="O10" s="45">
        <f>G10/4000</f>
        <v>8.75</v>
      </c>
      <c r="P10" s="46">
        <v>9</v>
      </c>
      <c r="Q10" s="46">
        <v>14</v>
      </c>
      <c r="R10" s="47">
        <f>L10/20</f>
        <v>2150</v>
      </c>
      <c r="S10" s="13">
        <v>1000</v>
      </c>
      <c r="T10" s="45">
        <f>M10/30</f>
        <v>12.433333333333334</v>
      </c>
      <c r="U10" s="46">
        <v>12</v>
      </c>
      <c r="V10" s="48">
        <f>N10/10</f>
        <v>5.25</v>
      </c>
      <c r="W10" s="46">
        <v>5</v>
      </c>
      <c r="X10" s="47">
        <f>E10/10</f>
        <v>35.6</v>
      </c>
      <c r="Y10" s="13">
        <v>35</v>
      </c>
      <c r="Z10" s="46">
        <v>2</v>
      </c>
      <c r="AA10" s="96">
        <v>5</v>
      </c>
      <c r="AB10" s="97">
        <f t="shared" ref="AB10" si="14">H10/300</f>
        <v>9.8666666666666671</v>
      </c>
      <c r="AC10" s="96"/>
      <c r="AD10" s="97"/>
      <c r="AE10" s="49" t="s">
        <v>204</v>
      </c>
      <c r="AF10" s="5" t="s">
        <v>412</v>
      </c>
    </row>
    <row r="11" spans="1:32" ht="40.799999999999997" x14ac:dyDescent="0.3">
      <c r="A11" s="104" t="s">
        <v>24</v>
      </c>
      <c r="B11" s="105" t="s">
        <v>334</v>
      </c>
      <c r="C11" s="101" t="s">
        <v>335</v>
      </c>
      <c r="D11" s="44" t="s">
        <v>388</v>
      </c>
      <c r="E11" s="31">
        <v>356</v>
      </c>
      <c r="F11" s="31">
        <v>6</v>
      </c>
      <c r="G11" s="6">
        <v>35000</v>
      </c>
      <c r="H11" s="85">
        <f>5*76</f>
        <v>380</v>
      </c>
      <c r="I11" s="85">
        <v>9300</v>
      </c>
      <c r="J11" s="85">
        <v>0</v>
      </c>
      <c r="K11" s="85">
        <v>0</v>
      </c>
      <c r="L11" s="6">
        <v>30000</v>
      </c>
      <c r="M11" s="6">
        <v>305</v>
      </c>
      <c r="N11" s="6">
        <v>45</v>
      </c>
      <c r="O11" s="45">
        <f>G11/4000</f>
        <v>8.75</v>
      </c>
      <c r="P11" s="46">
        <v>9</v>
      </c>
      <c r="Q11" s="46">
        <v>12</v>
      </c>
      <c r="R11" s="47">
        <f>L11/20</f>
        <v>1500</v>
      </c>
      <c r="S11" s="13">
        <v>1000</v>
      </c>
      <c r="T11" s="45">
        <f>M11/30</f>
        <v>10.166666666666666</v>
      </c>
      <c r="U11" s="46">
        <v>10</v>
      </c>
      <c r="V11" s="48">
        <f>N11/10</f>
        <v>4.5</v>
      </c>
      <c r="W11" s="46">
        <v>4</v>
      </c>
      <c r="X11" s="47">
        <f>E11/10</f>
        <v>35.6</v>
      </c>
      <c r="Y11" s="13">
        <v>35</v>
      </c>
      <c r="Z11" s="46">
        <v>2</v>
      </c>
      <c r="AA11" s="96">
        <v>6</v>
      </c>
      <c r="AB11" s="97">
        <f t="shared" si="13"/>
        <v>1.2666666666666666</v>
      </c>
      <c r="AC11" s="96"/>
      <c r="AD11" s="97"/>
      <c r="AE11" s="49" t="s">
        <v>204</v>
      </c>
      <c r="AF11" s="5" t="s">
        <v>414</v>
      </c>
    </row>
    <row r="12" spans="1:32" ht="61.2" x14ac:dyDescent="0.3">
      <c r="A12" s="104" t="s">
        <v>65</v>
      </c>
      <c r="B12" s="105" t="s">
        <v>215</v>
      </c>
      <c r="C12" s="101" t="s">
        <v>277</v>
      </c>
      <c r="D12" s="44" t="s">
        <v>389</v>
      </c>
      <c r="E12" s="31">
        <v>305</v>
      </c>
      <c r="F12" s="31">
        <v>4</v>
      </c>
      <c r="G12" s="6">
        <v>30000</v>
      </c>
      <c r="H12" s="85">
        <v>76</v>
      </c>
      <c r="I12" s="85">
        <v>9300</v>
      </c>
      <c r="J12" s="85">
        <v>0</v>
      </c>
      <c r="K12" s="85">
        <v>0</v>
      </c>
      <c r="L12" s="6">
        <v>24800</v>
      </c>
      <c r="M12" s="6">
        <v>225</v>
      </c>
      <c r="N12" s="6">
        <v>45</v>
      </c>
      <c r="O12" s="45">
        <f>G12/4000</f>
        <v>7.5</v>
      </c>
      <c r="P12" s="46">
        <v>8</v>
      </c>
      <c r="Q12" s="46">
        <v>10</v>
      </c>
      <c r="R12" s="47">
        <f>L12/20</f>
        <v>1240</v>
      </c>
      <c r="S12" s="13">
        <v>1000</v>
      </c>
      <c r="T12" s="45">
        <f>M12/30</f>
        <v>7.5</v>
      </c>
      <c r="U12" s="46">
        <v>8</v>
      </c>
      <c r="V12" s="48">
        <f>N12/10</f>
        <v>4.5</v>
      </c>
      <c r="W12" s="46">
        <v>4</v>
      </c>
      <c r="X12" s="47">
        <f>E12/10</f>
        <v>30.5</v>
      </c>
      <c r="Y12" s="13">
        <v>35</v>
      </c>
      <c r="Z12" s="46">
        <v>2</v>
      </c>
      <c r="AA12" s="96">
        <v>6</v>
      </c>
      <c r="AB12" s="97">
        <f t="shared" si="13"/>
        <v>0.25333333333333335</v>
      </c>
      <c r="AC12" s="96"/>
      <c r="AD12" s="97"/>
      <c r="AE12" s="49" t="s">
        <v>204</v>
      </c>
      <c r="AF12" s="98" t="s">
        <v>413</v>
      </c>
    </row>
    <row r="13" spans="1:32" ht="51" x14ac:dyDescent="0.3">
      <c r="A13" s="104" t="s">
        <v>44</v>
      </c>
      <c r="B13" s="105" t="s">
        <v>210</v>
      </c>
      <c r="C13" s="101">
        <v>1939</v>
      </c>
      <c r="D13" s="44" t="s">
        <v>390</v>
      </c>
      <c r="E13" s="31">
        <v>380</v>
      </c>
      <c r="F13" s="31">
        <v>8</v>
      </c>
      <c r="G13" s="6">
        <v>35000</v>
      </c>
      <c r="H13" s="85">
        <f>16*105</f>
        <v>1680</v>
      </c>
      <c r="I13" s="85">
        <v>15000</v>
      </c>
      <c r="J13" s="85">
        <f>16*37+12*2</f>
        <v>616</v>
      </c>
      <c r="K13" s="85">
        <v>7000</v>
      </c>
      <c r="L13" s="6">
        <v>41000</v>
      </c>
      <c r="M13" s="6">
        <v>320</v>
      </c>
      <c r="N13" s="6">
        <v>56</v>
      </c>
      <c r="O13" s="45">
        <f>G13/4000</f>
        <v>8.75</v>
      </c>
      <c r="P13" s="46">
        <v>9</v>
      </c>
      <c r="Q13" s="46">
        <v>14</v>
      </c>
      <c r="R13" s="47">
        <f>L13/20</f>
        <v>2050</v>
      </c>
      <c r="S13" s="13">
        <v>1600</v>
      </c>
      <c r="T13" s="45">
        <f>M13/30</f>
        <v>10.666666666666666</v>
      </c>
      <c r="U13" s="46">
        <v>11</v>
      </c>
      <c r="V13" s="48">
        <f>N13/10</f>
        <v>5.6</v>
      </c>
      <c r="W13" s="46">
        <v>5</v>
      </c>
      <c r="X13" s="47">
        <f>E13/10</f>
        <v>38</v>
      </c>
      <c r="Y13" s="13">
        <v>35</v>
      </c>
      <c r="Z13" s="46">
        <v>2</v>
      </c>
      <c r="AA13" s="96">
        <v>7</v>
      </c>
      <c r="AB13" s="97">
        <f t="shared" si="13"/>
        <v>5.6</v>
      </c>
      <c r="AC13" s="96">
        <v>5</v>
      </c>
      <c r="AD13" s="97">
        <f t="shared" ref="AD13" si="15">J13/300</f>
        <v>2.0533333333333332</v>
      </c>
      <c r="AE13" s="49" t="s">
        <v>204</v>
      </c>
      <c r="AF13" s="5" t="s">
        <v>412</v>
      </c>
    </row>
    <row r="14" spans="1:32" x14ac:dyDescent="0.3">
      <c r="A14" s="6" t="s">
        <v>381</v>
      </c>
      <c r="B14" s="31"/>
      <c r="D14" s="50"/>
      <c r="E14" s="31"/>
      <c r="F14" s="31"/>
      <c r="H14" s="85"/>
      <c r="I14" s="85"/>
      <c r="J14" s="85"/>
      <c r="K14" s="85"/>
      <c r="L14" s="6" t="s">
        <v>342</v>
      </c>
      <c r="N14" s="6" t="s">
        <v>342</v>
      </c>
      <c r="O14" s="45"/>
      <c r="P14" s="11"/>
      <c r="Q14" s="11"/>
      <c r="R14" s="51"/>
      <c r="S14" s="13"/>
      <c r="T14" s="45"/>
      <c r="U14" s="11"/>
      <c r="V14" s="48"/>
      <c r="W14" s="11"/>
      <c r="X14" s="51"/>
      <c r="Y14" s="13"/>
      <c r="Z14" s="11"/>
      <c r="AE14" s="33"/>
    </row>
    <row r="15" spans="1:32" ht="40.799999999999997" x14ac:dyDescent="0.3">
      <c r="A15" s="104" t="s">
        <v>44</v>
      </c>
      <c r="B15" s="105" t="s">
        <v>211</v>
      </c>
      <c r="C15" s="101" t="s">
        <v>212</v>
      </c>
      <c r="D15" s="44" t="s">
        <v>391</v>
      </c>
      <c r="E15" s="31">
        <v>280</v>
      </c>
      <c r="F15" s="31">
        <v>6</v>
      </c>
      <c r="G15" s="6">
        <v>36000</v>
      </c>
      <c r="H15" s="85">
        <f>6*88</f>
        <v>528</v>
      </c>
      <c r="I15" s="85">
        <v>15000</v>
      </c>
      <c r="J15" s="85">
        <v>0</v>
      </c>
      <c r="K15" s="85">
        <v>0</v>
      </c>
      <c r="L15" s="6">
        <v>12000</v>
      </c>
      <c r="M15" s="6">
        <v>80</v>
      </c>
      <c r="N15" s="6">
        <v>52</v>
      </c>
      <c r="O15" s="45">
        <f>G15/4000</f>
        <v>9</v>
      </c>
      <c r="P15" s="46">
        <v>9</v>
      </c>
      <c r="Q15" s="46">
        <v>7</v>
      </c>
      <c r="R15" s="47">
        <f>L15/20</f>
        <v>600</v>
      </c>
      <c r="S15" s="13">
        <v>500</v>
      </c>
      <c r="T15" s="45">
        <f>M15/30</f>
        <v>2.6666666666666665</v>
      </c>
      <c r="U15" s="46">
        <v>3</v>
      </c>
      <c r="V15" s="48">
        <f>N15/10</f>
        <v>5.2</v>
      </c>
      <c r="W15" s="46">
        <v>5</v>
      </c>
      <c r="X15" s="47">
        <f>E15/10</f>
        <v>28</v>
      </c>
      <c r="Y15" s="13">
        <v>30</v>
      </c>
      <c r="Z15" s="46">
        <v>1</v>
      </c>
      <c r="AA15" s="96">
        <v>7</v>
      </c>
      <c r="AB15" s="97">
        <f t="shared" ref="AB15:AB19" si="16">H15/300</f>
        <v>1.76</v>
      </c>
      <c r="AC15" s="96"/>
      <c r="AD15" s="97"/>
      <c r="AE15" s="49" t="s">
        <v>207</v>
      </c>
      <c r="AF15" s="5" t="s">
        <v>413</v>
      </c>
    </row>
    <row r="16" spans="1:32" ht="40.799999999999997" x14ac:dyDescent="0.3">
      <c r="A16" s="104" t="s">
        <v>27</v>
      </c>
      <c r="B16" s="105" t="s">
        <v>425</v>
      </c>
      <c r="C16" s="101" t="s">
        <v>426</v>
      </c>
      <c r="D16" s="44" t="s">
        <v>427</v>
      </c>
      <c r="E16" s="31">
        <v>133</v>
      </c>
      <c r="F16" s="31">
        <v>10</v>
      </c>
      <c r="G16" s="6">
        <v>22000</v>
      </c>
      <c r="H16" s="85">
        <f>12.7*8+8*40</f>
        <v>421.6</v>
      </c>
      <c r="I16" s="85">
        <v>6200</v>
      </c>
      <c r="J16" s="85">
        <v>0</v>
      </c>
      <c r="K16" s="85">
        <v>0</v>
      </c>
      <c r="L16" s="6">
        <v>5900</v>
      </c>
      <c r="M16" s="6">
        <v>76</v>
      </c>
      <c r="N16" s="6">
        <v>60</v>
      </c>
      <c r="O16" s="45">
        <f>G16/4000</f>
        <v>5.5</v>
      </c>
      <c r="P16" s="46">
        <v>5</v>
      </c>
      <c r="Q16" s="46">
        <v>5</v>
      </c>
      <c r="R16" s="47">
        <f>L16/20</f>
        <v>295</v>
      </c>
      <c r="S16" s="13">
        <v>370</v>
      </c>
      <c r="T16" s="45">
        <f>M16/30</f>
        <v>2.5333333333333332</v>
      </c>
      <c r="U16" s="46">
        <v>2</v>
      </c>
      <c r="V16" s="48">
        <f>N16/10</f>
        <v>6</v>
      </c>
      <c r="W16" s="46">
        <v>6</v>
      </c>
      <c r="X16" s="47">
        <f>E16/10</f>
        <v>13.3</v>
      </c>
      <c r="Y16" s="13">
        <v>30</v>
      </c>
      <c r="Z16" s="46">
        <v>1</v>
      </c>
      <c r="AA16" s="96">
        <v>5</v>
      </c>
      <c r="AB16" s="97">
        <f t="shared" si="16"/>
        <v>1.4053333333333333</v>
      </c>
      <c r="AC16" s="96"/>
      <c r="AD16" s="97"/>
      <c r="AE16" s="49" t="s">
        <v>207</v>
      </c>
      <c r="AF16" s="5" t="s">
        <v>414</v>
      </c>
    </row>
    <row r="17" spans="1:33" ht="61.2" x14ac:dyDescent="0.3">
      <c r="A17" s="104" t="s">
        <v>32</v>
      </c>
      <c r="B17" s="105" t="s">
        <v>205</v>
      </c>
      <c r="C17" s="101" t="s">
        <v>206</v>
      </c>
      <c r="D17" s="44" t="s">
        <v>392</v>
      </c>
      <c r="E17" s="31">
        <v>203</v>
      </c>
      <c r="F17" s="31">
        <v>9</v>
      </c>
      <c r="G17" s="6">
        <v>27000</v>
      </c>
      <c r="H17" s="85">
        <f>2*3*47+24*40</f>
        <v>1242</v>
      </c>
      <c r="I17" s="85">
        <v>7000</v>
      </c>
      <c r="J17" s="85">
        <f>28*20</f>
        <v>560</v>
      </c>
      <c r="K17" s="85">
        <v>4300</v>
      </c>
      <c r="L17" s="6">
        <v>9200</v>
      </c>
      <c r="M17" s="6">
        <v>100</v>
      </c>
      <c r="N17" s="6">
        <v>60</v>
      </c>
      <c r="O17" s="45">
        <f>G17/4000</f>
        <v>6.75</v>
      </c>
      <c r="P17" s="46">
        <v>7</v>
      </c>
      <c r="Q17" s="46">
        <v>6</v>
      </c>
      <c r="R17" s="47">
        <f>L17/20</f>
        <v>460</v>
      </c>
      <c r="S17" s="13">
        <v>370</v>
      </c>
      <c r="T17" s="45">
        <f>M17/30</f>
        <v>3.3333333333333335</v>
      </c>
      <c r="U17" s="46">
        <v>3</v>
      </c>
      <c r="V17" s="48">
        <f>N17/10</f>
        <v>6</v>
      </c>
      <c r="W17" s="46">
        <v>6</v>
      </c>
      <c r="X17" s="47">
        <f>E17/10</f>
        <v>20.3</v>
      </c>
      <c r="Y17" s="13">
        <v>30</v>
      </c>
      <c r="Z17" s="46">
        <v>1</v>
      </c>
      <c r="AA17" s="96">
        <v>5</v>
      </c>
      <c r="AB17" s="97">
        <f t="shared" ref="AB17" si="17">H17/300</f>
        <v>4.1399999999999997</v>
      </c>
      <c r="AC17" s="96">
        <v>3</v>
      </c>
      <c r="AD17" s="97">
        <f t="shared" ref="AD17" si="18">J17/300</f>
        <v>1.8666666666666667</v>
      </c>
      <c r="AE17" s="49" t="s">
        <v>207</v>
      </c>
      <c r="AF17" s="5" t="s">
        <v>413</v>
      </c>
    </row>
    <row r="18" spans="1:33" ht="51" x14ac:dyDescent="0.3">
      <c r="A18" s="104" t="s">
        <v>65</v>
      </c>
      <c r="B18" s="105" t="s">
        <v>216</v>
      </c>
      <c r="C18" s="101" t="s">
        <v>278</v>
      </c>
      <c r="D18" s="44" t="s">
        <v>393</v>
      </c>
      <c r="E18" s="31">
        <v>180</v>
      </c>
      <c r="F18" s="31">
        <v>3</v>
      </c>
      <c r="G18" s="6">
        <v>37000</v>
      </c>
      <c r="H18" s="85">
        <f>6*45</f>
        <v>270</v>
      </c>
      <c r="I18" s="85">
        <v>9200</v>
      </c>
      <c r="J18" s="85">
        <f>4*12.7</f>
        <v>50.8</v>
      </c>
      <c r="K18" s="85">
        <v>3900</v>
      </c>
      <c r="L18" s="6">
        <v>8000</v>
      </c>
      <c r="M18" s="6">
        <v>50</v>
      </c>
      <c r="N18" s="6">
        <v>66</v>
      </c>
      <c r="O18" s="45">
        <f>G18/4000</f>
        <v>9.25</v>
      </c>
      <c r="P18" s="46">
        <v>9</v>
      </c>
      <c r="Q18" s="46">
        <v>6</v>
      </c>
      <c r="R18" s="47">
        <f>L18/20</f>
        <v>400</v>
      </c>
      <c r="S18" s="13">
        <v>320</v>
      </c>
      <c r="T18" s="45">
        <f>M18/30</f>
        <v>1.6666666666666667</v>
      </c>
      <c r="U18" s="46">
        <v>2</v>
      </c>
      <c r="V18" s="48">
        <f>N18/10</f>
        <v>6.6</v>
      </c>
      <c r="W18" s="46">
        <v>6</v>
      </c>
      <c r="X18" s="47">
        <f>E18/10</f>
        <v>18</v>
      </c>
      <c r="Y18" s="13">
        <v>30</v>
      </c>
      <c r="Z18" s="46">
        <v>1</v>
      </c>
      <c r="AA18" s="96">
        <v>6</v>
      </c>
      <c r="AB18" s="97">
        <f t="shared" si="16"/>
        <v>0.9</v>
      </c>
      <c r="AC18" s="96">
        <v>3</v>
      </c>
      <c r="AD18" s="97">
        <f t="shared" ref="AD18:AD19" si="19">J18/300</f>
        <v>0.16933333333333334</v>
      </c>
      <c r="AE18" s="49" t="s">
        <v>207</v>
      </c>
      <c r="AF18" s="5" t="s">
        <v>414</v>
      </c>
      <c r="AG18" s="98"/>
    </row>
    <row r="19" spans="1:33" ht="40.799999999999997" x14ac:dyDescent="0.3">
      <c r="A19" s="104" t="s">
        <v>24</v>
      </c>
      <c r="B19" s="105" t="s">
        <v>336</v>
      </c>
      <c r="C19" s="101" t="s">
        <v>337</v>
      </c>
      <c r="D19" s="44" t="s">
        <v>395</v>
      </c>
      <c r="E19" s="31">
        <v>203</v>
      </c>
      <c r="F19" s="31">
        <v>3</v>
      </c>
      <c r="G19" s="6">
        <v>29000</v>
      </c>
      <c r="H19" s="85">
        <f>4*120</f>
        <v>480</v>
      </c>
      <c r="I19" s="85">
        <v>11000</v>
      </c>
      <c r="J19" s="85">
        <f>4*2*25</f>
        <v>200</v>
      </c>
      <c r="K19" s="85">
        <v>5500</v>
      </c>
      <c r="L19" s="6">
        <v>7100</v>
      </c>
      <c r="M19" s="6">
        <v>76</v>
      </c>
      <c r="N19" s="6">
        <v>64</v>
      </c>
      <c r="O19" s="45">
        <f t="shared" ref="O19" si="20">G19/4000</f>
        <v>7.25</v>
      </c>
      <c r="P19" s="46">
        <v>7</v>
      </c>
      <c r="Q19" s="46">
        <v>6</v>
      </c>
      <c r="R19" s="47">
        <f t="shared" ref="R19" si="21">L19/20</f>
        <v>355</v>
      </c>
      <c r="S19" s="13">
        <v>370</v>
      </c>
      <c r="T19" s="45">
        <f t="shared" ref="T19" si="22">M19/30</f>
        <v>2.5333333333333332</v>
      </c>
      <c r="U19" s="46">
        <v>3</v>
      </c>
      <c r="V19" s="48">
        <f t="shared" ref="V19" si="23">N19/10</f>
        <v>6.4</v>
      </c>
      <c r="W19" s="46">
        <v>6</v>
      </c>
      <c r="X19" s="47">
        <f t="shared" ref="X19" si="24">E19/10</f>
        <v>20.3</v>
      </c>
      <c r="Y19" s="13">
        <v>30</v>
      </c>
      <c r="Z19" s="46">
        <v>1</v>
      </c>
      <c r="AA19" s="96">
        <v>6</v>
      </c>
      <c r="AB19" s="97">
        <f t="shared" si="16"/>
        <v>1.6</v>
      </c>
      <c r="AC19" s="96">
        <v>4</v>
      </c>
      <c r="AD19" s="97">
        <f t="shared" si="19"/>
        <v>0.66666666666666663</v>
      </c>
      <c r="AE19" s="49" t="s">
        <v>207</v>
      </c>
      <c r="AF19" s="5" t="s">
        <v>414</v>
      </c>
    </row>
    <row r="20" spans="1:33" x14ac:dyDescent="0.3">
      <c r="A20" s="6" t="s">
        <v>380</v>
      </c>
      <c r="B20" s="31"/>
      <c r="D20" s="50"/>
      <c r="E20" s="31"/>
      <c r="F20" s="31"/>
      <c r="H20" s="85"/>
      <c r="I20" s="85"/>
      <c r="J20" s="85"/>
      <c r="K20" s="85"/>
      <c r="L20" s="6" t="s">
        <v>342</v>
      </c>
      <c r="N20" s="6" t="s">
        <v>342</v>
      </c>
      <c r="O20" s="45"/>
      <c r="P20" s="11"/>
      <c r="Q20" s="11"/>
      <c r="R20" s="51"/>
      <c r="S20" s="13"/>
      <c r="T20" s="45"/>
      <c r="U20" s="11"/>
      <c r="V20" s="48"/>
      <c r="W20" s="11"/>
      <c r="X20" s="51"/>
      <c r="Y20" s="13"/>
      <c r="Z20" s="11"/>
      <c r="AE20" s="33"/>
    </row>
    <row r="21" spans="1:33" ht="30.6" x14ac:dyDescent="0.3">
      <c r="A21" s="104" t="s">
        <v>24</v>
      </c>
      <c r="B21" s="105" t="s">
        <v>339</v>
      </c>
      <c r="C21" s="101" t="s">
        <v>338</v>
      </c>
      <c r="D21" s="44" t="s">
        <v>400</v>
      </c>
      <c r="E21" s="31">
        <v>120</v>
      </c>
      <c r="F21" s="31">
        <v>3</v>
      </c>
      <c r="G21" s="6">
        <v>16000</v>
      </c>
      <c r="H21" s="85">
        <f>2*7.7</f>
        <v>15.4</v>
      </c>
      <c r="I21" s="86">
        <v>3000</v>
      </c>
      <c r="J21" s="85">
        <v>0</v>
      </c>
      <c r="K21" s="86">
        <v>0</v>
      </c>
      <c r="L21" s="6">
        <v>1345</v>
      </c>
      <c r="M21" s="6">
        <v>80</v>
      </c>
      <c r="N21" s="6">
        <v>72</v>
      </c>
      <c r="O21" s="45">
        <f t="shared" si="8"/>
        <v>4</v>
      </c>
      <c r="P21" s="46">
        <v>4</v>
      </c>
      <c r="Q21" s="46">
        <v>4</v>
      </c>
      <c r="R21" s="47">
        <f t="shared" si="9"/>
        <v>67.25</v>
      </c>
      <c r="S21" s="13">
        <v>100</v>
      </c>
      <c r="T21" s="45">
        <f t="shared" si="10"/>
        <v>2.6666666666666665</v>
      </c>
      <c r="U21" s="46">
        <v>2</v>
      </c>
      <c r="V21" s="48">
        <f t="shared" si="11"/>
        <v>7.2</v>
      </c>
      <c r="W21" s="46">
        <v>7</v>
      </c>
      <c r="X21" s="47">
        <f>E21/10</f>
        <v>12</v>
      </c>
      <c r="Y21" s="13">
        <v>20</v>
      </c>
      <c r="Z21" s="46">
        <v>1</v>
      </c>
      <c r="AA21" s="96">
        <v>3</v>
      </c>
      <c r="AB21" s="97">
        <f t="shared" ref="AB21:AB25" si="25">H21/300</f>
        <v>5.1333333333333335E-2</v>
      </c>
      <c r="AC21" s="96"/>
      <c r="AD21" s="97"/>
      <c r="AE21" s="49" t="s">
        <v>199</v>
      </c>
      <c r="AF21" s="98" t="s">
        <v>414</v>
      </c>
    </row>
    <row r="22" spans="1:33" ht="51" x14ac:dyDescent="0.3">
      <c r="A22" s="104" t="s">
        <v>32</v>
      </c>
      <c r="B22" s="105" t="s">
        <v>441</v>
      </c>
      <c r="C22" s="72" t="s">
        <v>141</v>
      </c>
      <c r="D22" s="44" t="s">
        <v>396</v>
      </c>
      <c r="E22" s="31">
        <v>127</v>
      </c>
      <c r="F22" s="31">
        <v>5</v>
      </c>
      <c r="G22" s="6">
        <v>16000</v>
      </c>
      <c r="H22" s="85">
        <f>8*40</f>
        <v>320</v>
      </c>
      <c r="I22" s="85">
        <v>7000</v>
      </c>
      <c r="J22" s="85">
        <f>10*20</f>
        <v>200</v>
      </c>
      <c r="K22" s="85">
        <v>4300</v>
      </c>
      <c r="L22" s="6">
        <v>2000</v>
      </c>
      <c r="M22" s="6">
        <v>150</v>
      </c>
      <c r="N22" s="6">
        <v>67</v>
      </c>
      <c r="O22" s="45">
        <f>G22/4000</f>
        <v>4</v>
      </c>
      <c r="P22" s="46">
        <v>4</v>
      </c>
      <c r="Q22" s="46">
        <v>5</v>
      </c>
      <c r="R22" s="47">
        <f t="shared" si="0"/>
        <v>100</v>
      </c>
      <c r="S22" s="13">
        <v>100</v>
      </c>
      <c r="T22" s="45">
        <f t="shared" si="1"/>
        <v>5</v>
      </c>
      <c r="U22" s="46">
        <v>5</v>
      </c>
      <c r="V22" s="48">
        <f t="shared" si="2"/>
        <v>6.7</v>
      </c>
      <c r="W22" s="46">
        <v>6</v>
      </c>
      <c r="X22" s="47">
        <f>E22/10</f>
        <v>12.7</v>
      </c>
      <c r="Y22" s="13">
        <v>20</v>
      </c>
      <c r="Z22" s="46">
        <v>1</v>
      </c>
      <c r="AA22" s="96">
        <v>5</v>
      </c>
      <c r="AB22" s="97">
        <f t="shared" si="25"/>
        <v>1.0666666666666667</v>
      </c>
      <c r="AC22" s="96">
        <v>3</v>
      </c>
      <c r="AD22" s="97">
        <f t="shared" ref="AD22:AD25" si="26">J22/300</f>
        <v>0.66666666666666663</v>
      </c>
      <c r="AE22" s="49" t="s">
        <v>199</v>
      </c>
      <c r="AF22" s="5" t="s">
        <v>414</v>
      </c>
    </row>
    <row r="23" spans="1:33" ht="30.6" x14ac:dyDescent="0.3">
      <c r="A23" s="104" t="s">
        <v>27</v>
      </c>
      <c r="B23" s="105" t="s">
        <v>431</v>
      </c>
      <c r="C23" s="101" t="s">
        <v>434</v>
      </c>
      <c r="D23" s="44" t="s">
        <v>435</v>
      </c>
      <c r="E23" s="31">
        <v>120</v>
      </c>
      <c r="F23" s="31">
        <v>7</v>
      </c>
      <c r="G23" s="6">
        <v>16000</v>
      </c>
      <c r="H23" s="85">
        <f>102*2+4*20</f>
        <v>284</v>
      </c>
      <c r="I23" s="85">
        <v>11000</v>
      </c>
      <c r="J23" s="85"/>
      <c r="K23" s="85"/>
      <c r="L23" s="6">
        <v>1880</v>
      </c>
      <c r="M23" s="16">
        <v>80</v>
      </c>
      <c r="N23" s="6">
        <v>67</v>
      </c>
      <c r="O23" s="45">
        <f>G23/4000</f>
        <v>4</v>
      </c>
      <c r="P23" s="46">
        <v>4</v>
      </c>
      <c r="Q23" s="46">
        <v>5</v>
      </c>
      <c r="R23" s="47">
        <f t="shared" ref="R23" si="27">L23/20</f>
        <v>94</v>
      </c>
      <c r="S23" s="13">
        <v>100</v>
      </c>
      <c r="T23" s="45">
        <f t="shared" ref="T23" si="28">M23/30</f>
        <v>2.6666666666666665</v>
      </c>
      <c r="U23" s="46">
        <v>3</v>
      </c>
      <c r="V23" s="48">
        <f t="shared" ref="V23" si="29">N23/10</f>
        <v>6.7</v>
      </c>
      <c r="W23" s="46">
        <v>6</v>
      </c>
      <c r="X23" s="47">
        <f>E23/10</f>
        <v>12</v>
      </c>
      <c r="Y23" s="13">
        <v>20</v>
      </c>
      <c r="Z23" s="46">
        <v>1</v>
      </c>
      <c r="AA23" s="96">
        <v>5</v>
      </c>
      <c r="AB23" s="97">
        <f t="shared" ref="AB23" si="30">H23/300</f>
        <v>0.94666666666666666</v>
      </c>
      <c r="AC23" s="96"/>
      <c r="AD23" s="97"/>
      <c r="AE23" s="49" t="s">
        <v>199</v>
      </c>
      <c r="AF23" s="5" t="s">
        <v>414</v>
      </c>
    </row>
    <row r="24" spans="1:33" ht="51" x14ac:dyDescent="0.3">
      <c r="A24" s="104" t="s">
        <v>44</v>
      </c>
      <c r="B24" s="105" t="s">
        <v>213</v>
      </c>
      <c r="C24" s="101" t="s">
        <v>214</v>
      </c>
      <c r="D24" s="44" t="s">
        <v>397</v>
      </c>
      <c r="E24" s="31">
        <v>127</v>
      </c>
      <c r="F24" s="31">
        <v>5</v>
      </c>
      <c r="G24" s="6">
        <v>17500</v>
      </c>
      <c r="H24" s="85">
        <f>2*2*37</f>
        <v>148</v>
      </c>
      <c r="I24" s="86">
        <v>7000</v>
      </c>
      <c r="J24" s="85">
        <f>6*20</f>
        <v>120</v>
      </c>
      <c r="K24" s="86">
        <v>4000</v>
      </c>
      <c r="L24" s="6">
        <v>2200</v>
      </c>
      <c r="M24" s="6">
        <v>50</v>
      </c>
      <c r="N24" s="6">
        <v>67</v>
      </c>
      <c r="O24" s="45">
        <f>G24/4000</f>
        <v>4.375</v>
      </c>
      <c r="P24" s="46">
        <v>5</v>
      </c>
      <c r="Q24" s="46">
        <v>5</v>
      </c>
      <c r="R24" s="47">
        <f>L24/20</f>
        <v>110</v>
      </c>
      <c r="S24" s="13">
        <v>105</v>
      </c>
      <c r="T24" s="45">
        <f>M24/30</f>
        <v>1.6666666666666667</v>
      </c>
      <c r="U24" s="46">
        <v>2</v>
      </c>
      <c r="V24" s="48">
        <f>N24/10</f>
        <v>6.7</v>
      </c>
      <c r="W24" s="46">
        <v>6</v>
      </c>
      <c r="X24" s="47">
        <f>E24/10</f>
        <v>12.7</v>
      </c>
      <c r="Y24" s="13">
        <v>20</v>
      </c>
      <c r="Z24" s="46">
        <v>1</v>
      </c>
      <c r="AA24" s="96">
        <v>5</v>
      </c>
      <c r="AB24" s="97">
        <f t="shared" si="25"/>
        <v>0.49333333333333335</v>
      </c>
      <c r="AC24" s="96">
        <v>3</v>
      </c>
      <c r="AD24" s="97">
        <f t="shared" si="26"/>
        <v>0.4</v>
      </c>
      <c r="AE24" s="49" t="s">
        <v>199</v>
      </c>
      <c r="AF24" s="5" t="s">
        <v>414</v>
      </c>
      <c r="AG24" s="98"/>
    </row>
    <row r="25" spans="1:33" ht="51" x14ac:dyDescent="0.3">
      <c r="A25" s="104" t="s">
        <v>65</v>
      </c>
      <c r="B25" s="105" t="s">
        <v>217</v>
      </c>
      <c r="C25" s="101" t="s">
        <v>279</v>
      </c>
      <c r="D25" s="44" t="s">
        <v>398</v>
      </c>
      <c r="E25" s="31">
        <v>130</v>
      </c>
      <c r="F25" s="31">
        <v>4</v>
      </c>
      <c r="G25" s="6">
        <v>25000</v>
      </c>
      <c r="H25" s="85">
        <f>3*45+2*76</f>
        <v>287</v>
      </c>
      <c r="I25" s="85">
        <v>9300</v>
      </c>
      <c r="J25" s="85">
        <f>4*12.7</f>
        <v>50.8</v>
      </c>
      <c r="K25" s="86">
        <v>3800</v>
      </c>
      <c r="L25" s="6">
        <v>1700</v>
      </c>
      <c r="M25" s="6">
        <v>50</v>
      </c>
      <c r="N25" s="6">
        <v>74</v>
      </c>
      <c r="O25" s="45">
        <f>G25/4000</f>
        <v>6.25</v>
      </c>
      <c r="P25" s="46">
        <v>7</v>
      </c>
      <c r="Q25" s="46">
        <v>4</v>
      </c>
      <c r="R25" s="47">
        <f>L25/20</f>
        <v>85</v>
      </c>
      <c r="S25" s="13">
        <v>70</v>
      </c>
      <c r="T25" s="45">
        <f>M25/30</f>
        <v>1.6666666666666667</v>
      </c>
      <c r="U25" s="46">
        <v>2</v>
      </c>
      <c r="V25" s="48">
        <f>N25/10</f>
        <v>7.4</v>
      </c>
      <c r="W25" s="46">
        <v>7</v>
      </c>
      <c r="X25" s="47">
        <f>E25/10</f>
        <v>13</v>
      </c>
      <c r="Y25" s="13">
        <v>20</v>
      </c>
      <c r="Z25" s="46">
        <v>1</v>
      </c>
      <c r="AA25" s="96">
        <v>6</v>
      </c>
      <c r="AB25" s="97">
        <f t="shared" si="25"/>
        <v>0.95666666666666667</v>
      </c>
      <c r="AC25" s="96">
        <v>3</v>
      </c>
      <c r="AD25" s="97">
        <f t="shared" si="26"/>
        <v>0.16933333333333334</v>
      </c>
      <c r="AE25" s="49" t="s">
        <v>199</v>
      </c>
      <c r="AF25" s="5" t="s">
        <v>414</v>
      </c>
      <c r="AG25" s="98"/>
    </row>
    <row r="26" spans="1:33" x14ac:dyDescent="0.3">
      <c r="A26" s="6" t="s">
        <v>379</v>
      </c>
      <c r="B26" s="31"/>
      <c r="C26" s="43"/>
      <c r="D26" s="50"/>
      <c r="E26" s="31"/>
      <c r="F26" s="31"/>
      <c r="H26" s="85"/>
      <c r="I26" s="85"/>
      <c r="J26" s="85"/>
      <c r="K26" s="85"/>
      <c r="L26" s="6" t="s">
        <v>342</v>
      </c>
      <c r="N26" s="6" t="s">
        <v>342</v>
      </c>
      <c r="O26" s="45"/>
      <c r="P26" s="11"/>
      <c r="Q26" s="11"/>
      <c r="R26" s="51"/>
      <c r="S26" s="13"/>
      <c r="T26" s="45"/>
      <c r="U26" s="11"/>
      <c r="V26" s="48"/>
      <c r="W26" s="11"/>
      <c r="X26" s="51"/>
      <c r="Y26" s="13"/>
      <c r="Z26" s="11"/>
      <c r="AE26" s="33"/>
    </row>
    <row r="27" spans="1:33" ht="40.799999999999997" x14ac:dyDescent="0.3">
      <c r="A27" s="104" t="s">
        <v>24</v>
      </c>
      <c r="B27" s="105" t="s">
        <v>340</v>
      </c>
      <c r="C27" s="43" t="s">
        <v>341</v>
      </c>
      <c r="D27" s="44" t="s">
        <v>399</v>
      </c>
      <c r="E27" s="31">
        <v>120</v>
      </c>
      <c r="F27" s="31">
        <v>4</v>
      </c>
      <c r="G27" s="6">
        <v>16000</v>
      </c>
      <c r="H27" s="85">
        <f>2*7.7</f>
        <v>15.4</v>
      </c>
      <c r="I27" s="86">
        <v>3000</v>
      </c>
      <c r="J27" s="85">
        <v>0</v>
      </c>
      <c r="K27" s="86">
        <v>0</v>
      </c>
      <c r="L27" s="6">
        <v>1345</v>
      </c>
      <c r="M27" s="6">
        <v>0</v>
      </c>
      <c r="N27" s="6">
        <v>72</v>
      </c>
      <c r="O27" s="45">
        <f t="shared" ref="O27" si="31">G27/4000</f>
        <v>4</v>
      </c>
      <c r="P27" s="46">
        <v>4</v>
      </c>
      <c r="Q27" s="46">
        <v>4</v>
      </c>
      <c r="R27" s="47">
        <f t="shared" ref="R27" si="32">L27/20</f>
        <v>67.25</v>
      </c>
      <c r="S27" s="13">
        <v>100</v>
      </c>
      <c r="T27" s="45">
        <f t="shared" ref="T27" si="33">M27/30</f>
        <v>0</v>
      </c>
      <c r="U27" s="46">
        <v>0</v>
      </c>
      <c r="V27" s="48">
        <f t="shared" ref="V27" si="34">N27/10</f>
        <v>7.2</v>
      </c>
      <c r="W27" s="46">
        <v>7</v>
      </c>
      <c r="X27" s="47">
        <f>E27/10</f>
        <v>12</v>
      </c>
      <c r="Y27" s="13">
        <v>20</v>
      </c>
      <c r="Z27" s="46">
        <v>1</v>
      </c>
      <c r="AA27" s="96">
        <v>3</v>
      </c>
      <c r="AB27" s="97">
        <f t="shared" ref="AB27:AB29" si="35">H27/300</f>
        <v>5.1333333333333335E-2</v>
      </c>
      <c r="AC27" s="96"/>
      <c r="AD27" s="97"/>
      <c r="AE27" s="49" t="s">
        <v>201</v>
      </c>
      <c r="AF27" s="98" t="s">
        <v>414</v>
      </c>
    </row>
    <row r="28" spans="1:33" ht="40.799999999999997" x14ac:dyDescent="0.3">
      <c r="A28" s="104" t="s">
        <v>44</v>
      </c>
      <c r="B28" s="105" t="s">
        <v>443</v>
      </c>
      <c r="C28" s="72" t="s">
        <v>105</v>
      </c>
      <c r="D28" s="44" t="s">
        <v>401</v>
      </c>
      <c r="E28" s="31">
        <v>105</v>
      </c>
      <c r="F28" s="31">
        <v>4</v>
      </c>
      <c r="G28" s="6">
        <v>15000</v>
      </c>
      <c r="H28" s="85">
        <f>9*37</f>
        <v>333</v>
      </c>
      <c r="I28" s="86">
        <v>7000</v>
      </c>
      <c r="J28" s="85">
        <f>4*20</f>
        <v>80</v>
      </c>
      <c r="K28" s="86">
        <v>4000</v>
      </c>
      <c r="L28" s="6">
        <v>1300</v>
      </c>
      <c r="M28" s="6">
        <v>0</v>
      </c>
      <c r="N28" s="6">
        <v>60</v>
      </c>
      <c r="O28" s="45">
        <f>G28/4000</f>
        <v>3.75</v>
      </c>
      <c r="P28" s="46">
        <v>4</v>
      </c>
      <c r="Q28" s="46">
        <v>4</v>
      </c>
      <c r="R28" s="47">
        <f>L28/20</f>
        <v>65</v>
      </c>
      <c r="S28" s="13">
        <v>52</v>
      </c>
      <c r="T28" s="45">
        <f>M28/30</f>
        <v>0</v>
      </c>
      <c r="U28" s="46">
        <v>0</v>
      </c>
      <c r="V28" s="48">
        <f>N28/10</f>
        <v>6</v>
      </c>
      <c r="W28" s="46">
        <v>6</v>
      </c>
      <c r="X28" s="47">
        <f>E28/10</f>
        <v>10.5</v>
      </c>
      <c r="Y28" s="13">
        <v>20</v>
      </c>
      <c r="Z28" s="46">
        <v>1</v>
      </c>
      <c r="AA28" s="96">
        <v>5</v>
      </c>
      <c r="AB28" s="97">
        <f t="shared" si="35"/>
        <v>1.1100000000000001</v>
      </c>
      <c r="AC28" s="96">
        <v>3</v>
      </c>
      <c r="AD28" s="97">
        <f t="shared" ref="AD28:AD29" si="36">J28/300</f>
        <v>0.26666666666666666</v>
      </c>
      <c r="AE28" s="49" t="s">
        <v>201</v>
      </c>
      <c r="AF28" s="5" t="s">
        <v>414</v>
      </c>
      <c r="AG28" s="98"/>
    </row>
    <row r="29" spans="1:33" ht="61.2" x14ac:dyDescent="0.3">
      <c r="A29" s="104" t="s">
        <v>32</v>
      </c>
      <c r="B29" s="105" t="s">
        <v>200</v>
      </c>
      <c r="C29" s="102" t="s">
        <v>433</v>
      </c>
      <c r="D29" s="44" t="s">
        <v>402</v>
      </c>
      <c r="E29" s="31">
        <v>127</v>
      </c>
      <c r="F29" s="31">
        <v>6</v>
      </c>
      <c r="G29" s="6">
        <v>16000</v>
      </c>
      <c r="H29" s="85">
        <f>12*40</f>
        <v>480</v>
      </c>
      <c r="I29" s="85">
        <v>7000</v>
      </c>
      <c r="J29" s="85">
        <f>11*20</f>
        <v>220</v>
      </c>
      <c r="K29" s="85">
        <v>4300</v>
      </c>
      <c r="L29" s="6">
        <v>2000</v>
      </c>
      <c r="M29" s="6">
        <v>0</v>
      </c>
      <c r="N29" s="6">
        <v>67</v>
      </c>
      <c r="O29" s="45">
        <f>G29/4000</f>
        <v>4</v>
      </c>
      <c r="P29" s="46">
        <v>4</v>
      </c>
      <c r="Q29" s="46">
        <v>5</v>
      </c>
      <c r="R29" s="47">
        <f t="shared" si="0"/>
        <v>100</v>
      </c>
      <c r="S29" s="13">
        <v>100</v>
      </c>
      <c r="T29" s="45">
        <f t="shared" si="1"/>
        <v>0</v>
      </c>
      <c r="U29" s="46">
        <v>0</v>
      </c>
      <c r="V29" s="48">
        <f t="shared" si="2"/>
        <v>6.7</v>
      </c>
      <c r="W29" s="46">
        <v>6</v>
      </c>
      <c r="X29" s="47">
        <f>E29/10</f>
        <v>12.7</v>
      </c>
      <c r="Y29" s="13">
        <v>20</v>
      </c>
      <c r="Z29" s="46">
        <v>1</v>
      </c>
      <c r="AA29" s="96">
        <v>5</v>
      </c>
      <c r="AB29" s="97">
        <f t="shared" si="35"/>
        <v>1.6</v>
      </c>
      <c r="AC29" s="96">
        <v>3</v>
      </c>
      <c r="AD29" s="97">
        <f t="shared" si="36"/>
        <v>0.73333333333333328</v>
      </c>
      <c r="AE29" s="49" t="s">
        <v>201</v>
      </c>
      <c r="AF29" s="5" t="s">
        <v>414</v>
      </c>
      <c r="AG29" s="98"/>
    </row>
    <row r="30" spans="1:33" ht="61.2" x14ac:dyDescent="0.3">
      <c r="A30" s="104" t="s">
        <v>27</v>
      </c>
      <c r="B30" s="105" t="s">
        <v>429</v>
      </c>
      <c r="C30" s="43" t="s">
        <v>432</v>
      </c>
      <c r="D30" s="44" t="s">
        <v>430</v>
      </c>
      <c r="E30" s="31">
        <v>120</v>
      </c>
      <c r="F30" s="31">
        <v>3</v>
      </c>
      <c r="G30" s="6">
        <v>16000</v>
      </c>
      <c r="H30" s="85">
        <f>4*40+4*12.7</f>
        <v>210.8</v>
      </c>
      <c r="I30" s="85">
        <v>7000</v>
      </c>
      <c r="J30" s="85"/>
      <c r="K30" s="85"/>
      <c r="L30" s="6">
        <v>1720</v>
      </c>
      <c r="M30" s="6">
        <v>0</v>
      </c>
      <c r="N30" s="6">
        <v>67</v>
      </c>
      <c r="O30" s="45">
        <f>G30/4000</f>
        <v>4</v>
      </c>
      <c r="P30" s="46">
        <v>4</v>
      </c>
      <c r="Q30" s="46">
        <v>4</v>
      </c>
      <c r="R30" s="47">
        <f t="shared" ref="R30" si="37">L30/20</f>
        <v>86</v>
      </c>
      <c r="S30" s="13">
        <v>100</v>
      </c>
      <c r="T30" s="45">
        <f t="shared" ref="T30" si="38">M30/30</f>
        <v>0</v>
      </c>
      <c r="U30" s="46">
        <v>0</v>
      </c>
      <c r="V30" s="48">
        <f t="shared" ref="V30" si="39">N30/10</f>
        <v>6.7</v>
      </c>
      <c r="W30" s="46">
        <v>6</v>
      </c>
      <c r="X30" s="47">
        <f>E30/10</f>
        <v>12</v>
      </c>
      <c r="Y30" s="13">
        <v>20</v>
      </c>
      <c r="Z30" s="46">
        <v>1</v>
      </c>
      <c r="AA30" s="96">
        <v>5</v>
      </c>
      <c r="AB30" s="97">
        <f t="shared" ref="AB30" si="40">H30/300</f>
        <v>0.70266666666666666</v>
      </c>
      <c r="AC30" s="96"/>
      <c r="AD30" s="97"/>
      <c r="AE30" s="49" t="s">
        <v>201</v>
      </c>
      <c r="AF30" s="5" t="s">
        <v>414</v>
      </c>
      <c r="AG30" s="98"/>
    </row>
    <row r="31" spans="1:33" ht="51" x14ac:dyDescent="0.3">
      <c r="A31" s="104" t="s">
        <v>65</v>
      </c>
      <c r="B31" s="105" t="s">
        <v>218</v>
      </c>
      <c r="C31" s="43" t="s">
        <v>280</v>
      </c>
      <c r="D31" s="44" t="s">
        <v>403</v>
      </c>
      <c r="E31" s="31">
        <v>130</v>
      </c>
      <c r="F31" s="31">
        <v>4</v>
      </c>
      <c r="G31" s="6">
        <v>25000</v>
      </c>
      <c r="H31" s="85">
        <f>2*45+2*76</f>
        <v>242</v>
      </c>
      <c r="I31" s="85">
        <v>9300</v>
      </c>
      <c r="J31" s="85">
        <f>2*12.7</f>
        <v>25.4</v>
      </c>
      <c r="K31" s="85">
        <v>3900</v>
      </c>
      <c r="L31" s="6">
        <v>1600</v>
      </c>
      <c r="M31" s="6">
        <v>50</v>
      </c>
      <c r="N31" s="6">
        <v>73</v>
      </c>
      <c r="O31" s="45">
        <f>G31/4000</f>
        <v>6.25</v>
      </c>
      <c r="P31" s="46">
        <v>7</v>
      </c>
      <c r="Q31" s="46">
        <v>4</v>
      </c>
      <c r="R31" s="47">
        <f>L31/20</f>
        <v>80</v>
      </c>
      <c r="S31" s="13">
        <v>70</v>
      </c>
      <c r="T31" s="45">
        <f>M31/30</f>
        <v>1.6666666666666667</v>
      </c>
      <c r="U31" s="46">
        <v>2</v>
      </c>
      <c r="V31" s="48">
        <f>N31/10</f>
        <v>7.3</v>
      </c>
      <c r="W31" s="46">
        <v>7</v>
      </c>
      <c r="X31" s="47">
        <f>E31/10</f>
        <v>13</v>
      </c>
      <c r="Y31" s="13">
        <v>20</v>
      </c>
      <c r="Z31" s="46">
        <v>1</v>
      </c>
      <c r="AA31" s="96">
        <v>6</v>
      </c>
      <c r="AB31" s="97">
        <f>H31/300</f>
        <v>0.80666666666666664</v>
      </c>
      <c r="AC31" s="96">
        <v>3</v>
      </c>
      <c r="AD31" s="97">
        <f>L31/300</f>
        <v>5.333333333333333</v>
      </c>
      <c r="AE31" s="49" t="s">
        <v>201</v>
      </c>
      <c r="AF31" s="5" t="s">
        <v>413</v>
      </c>
    </row>
    <row r="32" spans="1:33" x14ac:dyDescent="0.3">
      <c r="A32" s="6" t="s">
        <v>219</v>
      </c>
      <c r="B32" s="31"/>
      <c r="D32" s="50"/>
      <c r="E32" s="31"/>
      <c r="F32" s="31"/>
      <c r="G32" s="6" t="s">
        <v>469</v>
      </c>
      <c r="H32" s="85"/>
      <c r="I32" s="85"/>
      <c r="J32" s="85"/>
      <c r="K32" s="85"/>
      <c r="L32" s="6" t="s">
        <v>342</v>
      </c>
      <c r="N32" s="6" t="s">
        <v>342</v>
      </c>
      <c r="O32" s="45"/>
      <c r="P32" s="11" t="s">
        <v>469</v>
      </c>
      <c r="Q32" s="11"/>
      <c r="R32" s="51"/>
      <c r="S32" s="13"/>
      <c r="T32" s="45"/>
      <c r="U32" s="11"/>
      <c r="V32" s="48"/>
      <c r="W32" s="11"/>
      <c r="X32" s="51" t="s">
        <v>469</v>
      </c>
      <c r="Y32" s="13"/>
      <c r="Z32" s="11"/>
      <c r="AE32" s="33"/>
    </row>
    <row r="33" spans="1:31" ht="30.6" x14ac:dyDescent="0.3">
      <c r="A33" s="104" t="s">
        <v>32</v>
      </c>
      <c r="B33" s="105" t="s">
        <v>442</v>
      </c>
      <c r="C33" s="72" t="s">
        <v>281</v>
      </c>
      <c r="D33" s="44" t="s">
        <v>220</v>
      </c>
      <c r="E33" s="31">
        <v>76</v>
      </c>
      <c r="F33" s="31">
        <v>1</v>
      </c>
      <c r="G33" s="6">
        <v>13400</v>
      </c>
      <c r="H33" s="85"/>
      <c r="I33" s="85"/>
      <c r="J33" s="85"/>
      <c r="K33" s="85"/>
      <c r="L33" s="6">
        <v>1600</v>
      </c>
      <c r="N33" s="6">
        <v>40</v>
      </c>
      <c r="O33" s="45">
        <f>G33/4000</f>
        <v>3.35</v>
      </c>
      <c r="P33" s="11">
        <v>3</v>
      </c>
      <c r="Q33" s="11">
        <v>3</v>
      </c>
      <c r="R33" s="51">
        <f>L33/25</f>
        <v>64</v>
      </c>
      <c r="S33" s="13">
        <v>70</v>
      </c>
      <c r="T33" s="45">
        <f>M33/30</f>
        <v>0</v>
      </c>
      <c r="U33" s="11">
        <v>0</v>
      </c>
      <c r="V33" s="48">
        <f t="shared" ref="V33:V37" si="41">N33/8</f>
        <v>5</v>
      </c>
      <c r="W33" s="119" t="s">
        <v>466</v>
      </c>
      <c r="X33" s="51">
        <f>E33/10</f>
        <v>7.6</v>
      </c>
      <c r="Y33" s="13">
        <v>30</v>
      </c>
      <c r="Z33" s="11">
        <v>2</v>
      </c>
      <c r="AE33" s="33" t="s">
        <v>476</v>
      </c>
    </row>
    <row r="34" spans="1:31" ht="51" x14ac:dyDescent="0.3">
      <c r="A34" s="104" t="s">
        <v>27</v>
      </c>
      <c r="B34" s="105" t="s">
        <v>437</v>
      </c>
      <c r="C34" s="101" t="s">
        <v>282</v>
      </c>
      <c r="D34" s="44" t="s">
        <v>438</v>
      </c>
      <c r="E34" s="31">
        <v>76</v>
      </c>
      <c r="F34" s="31">
        <v>1</v>
      </c>
      <c r="G34" s="6">
        <v>13400</v>
      </c>
      <c r="H34" s="85"/>
      <c r="I34" s="85"/>
      <c r="J34" s="85"/>
      <c r="K34" s="85"/>
      <c r="L34" s="6">
        <v>670</v>
      </c>
      <c r="N34" s="6">
        <v>27</v>
      </c>
      <c r="O34" s="45">
        <f>G34/4000</f>
        <v>3.35</v>
      </c>
      <c r="P34" s="11">
        <v>3</v>
      </c>
      <c r="Q34" s="11">
        <v>2</v>
      </c>
      <c r="R34" s="51">
        <f>L34/25</f>
        <v>26.8</v>
      </c>
      <c r="S34" s="13">
        <v>70</v>
      </c>
      <c r="T34" s="45">
        <f>M34/30</f>
        <v>0</v>
      </c>
      <c r="U34" s="11">
        <v>0</v>
      </c>
      <c r="V34" s="48">
        <f t="shared" si="41"/>
        <v>3.375</v>
      </c>
      <c r="W34" s="119" t="s">
        <v>465</v>
      </c>
      <c r="X34" s="51">
        <f>E34/10</f>
        <v>7.6</v>
      </c>
      <c r="Y34" s="13">
        <v>30</v>
      </c>
      <c r="Z34" s="11">
        <v>1</v>
      </c>
      <c r="AE34" s="33" t="s">
        <v>476</v>
      </c>
    </row>
    <row r="35" spans="1:31" ht="51" x14ac:dyDescent="0.3">
      <c r="A35" s="104" t="s">
        <v>24</v>
      </c>
      <c r="B35" s="105" t="s">
        <v>344</v>
      </c>
      <c r="C35" s="101" t="s">
        <v>282</v>
      </c>
      <c r="D35" s="44" t="s">
        <v>343</v>
      </c>
      <c r="E35" s="31">
        <v>140</v>
      </c>
      <c r="F35" s="31">
        <v>2</v>
      </c>
      <c r="G35" s="6">
        <v>16000</v>
      </c>
      <c r="H35" s="85"/>
      <c r="I35" s="85"/>
      <c r="J35" s="85"/>
      <c r="K35" s="85"/>
      <c r="L35" s="6">
        <v>2000</v>
      </c>
      <c r="M35" s="6">
        <v>0</v>
      </c>
      <c r="N35" s="6">
        <v>35</v>
      </c>
      <c r="O35" s="45">
        <f>G35/4000</f>
        <v>4</v>
      </c>
      <c r="P35" s="11">
        <v>4</v>
      </c>
      <c r="Q35" s="11">
        <v>3</v>
      </c>
      <c r="R35" s="51">
        <f>L35/25</f>
        <v>80</v>
      </c>
      <c r="S35" s="13">
        <v>30</v>
      </c>
      <c r="T35" s="45">
        <f>M35/30</f>
        <v>0</v>
      </c>
      <c r="U35" s="11">
        <v>0</v>
      </c>
      <c r="V35" s="48">
        <f t="shared" si="41"/>
        <v>4.375</v>
      </c>
      <c r="W35" s="119" t="s">
        <v>465</v>
      </c>
      <c r="X35" s="51">
        <f>E35/10</f>
        <v>14</v>
      </c>
      <c r="Y35" s="13">
        <v>30</v>
      </c>
      <c r="Z35" s="11">
        <v>1</v>
      </c>
      <c r="AE35" s="33" t="s">
        <v>476</v>
      </c>
    </row>
    <row r="36" spans="1:31" ht="61.2" x14ac:dyDescent="0.3">
      <c r="A36" s="6" t="s">
        <v>24</v>
      </c>
      <c r="B36" s="120" t="s">
        <v>467</v>
      </c>
      <c r="C36" s="102" t="s">
        <v>316</v>
      </c>
      <c r="D36" s="44" t="s">
        <v>468</v>
      </c>
      <c r="E36" s="31">
        <v>140</v>
      </c>
      <c r="F36" s="31">
        <v>2</v>
      </c>
      <c r="G36" s="6">
        <v>16000</v>
      </c>
      <c r="H36" s="85"/>
      <c r="I36" s="85"/>
      <c r="J36" s="85"/>
      <c r="K36" s="85"/>
      <c r="L36" s="6">
        <v>6670</v>
      </c>
      <c r="M36" s="6">
        <v>0</v>
      </c>
      <c r="N36" s="6">
        <v>35</v>
      </c>
      <c r="O36" s="45">
        <f>G36/4000</f>
        <v>4</v>
      </c>
      <c r="P36" s="11">
        <v>4</v>
      </c>
      <c r="Q36" s="11">
        <v>4</v>
      </c>
      <c r="R36" s="51">
        <f>L36/25</f>
        <v>266.8</v>
      </c>
      <c r="S36" s="13">
        <v>30</v>
      </c>
      <c r="T36" s="45">
        <f>M36/30</f>
        <v>0</v>
      </c>
      <c r="U36" s="11">
        <v>0</v>
      </c>
      <c r="V36" s="48">
        <f t="shared" ref="V36" si="42">N36/8</f>
        <v>4.375</v>
      </c>
      <c r="W36" s="119" t="s">
        <v>465</v>
      </c>
      <c r="X36" s="51">
        <f>E36/10</f>
        <v>14</v>
      </c>
      <c r="Y36" s="13">
        <v>30</v>
      </c>
      <c r="Z36" s="11">
        <v>2</v>
      </c>
      <c r="AE36" s="33" t="s">
        <v>476</v>
      </c>
    </row>
    <row r="37" spans="1:31" ht="40.799999999999997" x14ac:dyDescent="0.3">
      <c r="A37" s="104" t="s">
        <v>44</v>
      </c>
      <c r="B37" s="105" t="s">
        <v>221</v>
      </c>
      <c r="C37" s="101" t="s">
        <v>282</v>
      </c>
      <c r="D37" s="44" t="s">
        <v>222</v>
      </c>
      <c r="E37" s="31">
        <v>88</v>
      </c>
      <c r="F37" s="31">
        <v>1</v>
      </c>
      <c r="G37" s="6">
        <v>12000</v>
      </c>
      <c r="H37" s="85"/>
      <c r="I37" s="85"/>
      <c r="J37" s="85"/>
      <c r="K37" s="85"/>
      <c r="L37" s="6">
        <v>750</v>
      </c>
      <c r="M37" s="6">
        <v>0</v>
      </c>
      <c r="N37" s="6">
        <v>33</v>
      </c>
      <c r="O37" s="45">
        <f>G37/4000</f>
        <v>3</v>
      </c>
      <c r="P37" s="11">
        <v>3</v>
      </c>
      <c r="Q37" s="11">
        <v>2</v>
      </c>
      <c r="R37" s="51">
        <f>L37/25</f>
        <v>30</v>
      </c>
      <c r="S37" s="13">
        <v>30</v>
      </c>
      <c r="T37" s="45">
        <f>M37/30</f>
        <v>0</v>
      </c>
      <c r="U37" s="11">
        <v>0</v>
      </c>
      <c r="V37" s="48">
        <f t="shared" si="41"/>
        <v>4.125</v>
      </c>
      <c r="W37" s="119" t="s">
        <v>465</v>
      </c>
      <c r="X37" s="51">
        <f>E37/10</f>
        <v>8.8000000000000007</v>
      </c>
      <c r="Y37" s="13">
        <v>30</v>
      </c>
      <c r="Z37" s="11">
        <v>1</v>
      </c>
      <c r="AE37" s="33" t="s">
        <v>476</v>
      </c>
    </row>
    <row r="38" spans="1:31" ht="40.799999999999997" x14ac:dyDescent="0.3">
      <c r="A38" s="104" t="s">
        <v>65</v>
      </c>
      <c r="B38" s="105" t="s">
        <v>223</v>
      </c>
      <c r="C38" s="101">
        <v>1932</v>
      </c>
      <c r="D38" s="44" t="s">
        <v>224</v>
      </c>
      <c r="E38" s="31">
        <v>45</v>
      </c>
      <c r="F38" s="31">
        <v>2</v>
      </c>
      <c r="G38" s="6">
        <v>4400</v>
      </c>
      <c r="H38" s="85"/>
      <c r="I38" s="85"/>
      <c r="J38" s="85"/>
      <c r="K38" s="85"/>
      <c r="L38" s="6">
        <v>577</v>
      </c>
      <c r="M38" s="6">
        <v>0</v>
      </c>
      <c r="N38" s="6">
        <v>23</v>
      </c>
      <c r="O38" s="45">
        <f>G38/4000</f>
        <v>1.1000000000000001</v>
      </c>
      <c r="P38" s="11">
        <v>1</v>
      </c>
      <c r="Q38" s="11">
        <v>2</v>
      </c>
      <c r="R38" s="51">
        <f>L38/25</f>
        <v>23.08</v>
      </c>
      <c r="S38" s="13">
        <v>30</v>
      </c>
      <c r="T38" s="45">
        <f>M38/30</f>
        <v>0</v>
      </c>
      <c r="U38" s="11">
        <v>0</v>
      </c>
      <c r="V38" s="48">
        <f>N38/8</f>
        <v>2.875</v>
      </c>
      <c r="W38" s="119" t="s">
        <v>465</v>
      </c>
      <c r="X38" s="51">
        <f>E38/10</f>
        <v>4.5</v>
      </c>
      <c r="Y38" s="13">
        <v>30</v>
      </c>
      <c r="Z38" s="11">
        <v>1</v>
      </c>
      <c r="AE38" s="33" t="s">
        <v>476</v>
      </c>
    </row>
    <row r="39" spans="1:31" x14ac:dyDescent="0.3">
      <c r="B39" s="31" t="s">
        <v>470</v>
      </c>
      <c r="D39" s="31"/>
      <c r="E39" s="31"/>
      <c r="F39" s="31"/>
      <c r="G39" s="6">
        <v>5000</v>
      </c>
      <c r="H39" s="85"/>
      <c r="I39" s="85"/>
      <c r="J39" s="85"/>
      <c r="K39" s="85"/>
      <c r="O39" s="45"/>
      <c r="P39" s="11">
        <v>3</v>
      </c>
      <c r="Q39" s="11"/>
      <c r="R39" s="48"/>
      <c r="S39" s="11"/>
      <c r="T39" s="48"/>
      <c r="U39" s="11"/>
      <c r="V39" s="48"/>
      <c r="W39" s="11"/>
      <c r="X39" s="48"/>
      <c r="Y39" s="11"/>
      <c r="Z39" s="11"/>
      <c r="AE39" s="33"/>
    </row>
    <row r="40" spans="1:31" x14ac:dyDescent="0.3">
      <c r="B40" s="52"/>
      <c r="E40"/>
      <c r="F40"/>
      <c r="H40" s="87"/>
      <c r="I40" s="87"/>
      <c r="J40" s="87"/>
      <c r="K40" s="87"/>
      <c r="O40" s="45">
        <f>G40/4000</f>
        <v>0</v>
      </c>
      <c r="V40" s="48">
        <f>N40/10</f>
        <v>0</v>
      </c>
    </row>
    <row r="41" spans="1:31" x14ac:dyDescent="0.3">
      <c r="E41"/>
      <c r="F41"/>
      <c r="H41" s="87"/>
      <c r="I41" s="87"/>
      <c r="J41" s="87"/>
      <c r="K41" s="87"/>
    </row>
    <row r="42" spans="1:31" x14ac:dyDescent="0.3">
      <c r="E42"/>
      <c r="F42"/>
      <c r="H42" s="87"/>
      <c r="I42" s="87"/>
      <c r="J42" s="87"/>
      <c r="K42" s="87"/>
    </row>
    <row r="43" spans="1:31" x14ac:dyDescent="0.3">
      <c r="E43"/>
      <c r="F43"/>
      <c r="H43" s="87"/>
      <c r="I43" s="87"/>
      <c r="J43" s="87"/>
      <c r="K43" s="87"/>
    </row>
    <row r="44" spans="1:31" x14ac:dyDescent="0.3">
      <c r="E44"/>
      <c r="F44"/>
      <c r="H44" s="87"/>
      <c r="I44" s="87"/>
      <c r="J44" s="87"/>
      <c r="K44" s="87"/>
    </row>
    <row r="45" spans="1:31" x14ac:dyDescent="0.3">
      <c r="E45"/>
      <c r="F45"/>
      <c r="H45" s="87"/>
      <c r="I45" s="87"/>
      <c r="J45" s="87"/>
      <c r="K45" s="87"/>
      <c r="Q45" s="6" t="s">
        <v>31</v>
      </c>
    </row>
    <row r="46" spans="1:31" x14ac:dyDescent="0.3">
      <c r="E46"/>
      <c r="F46"/>
      <c r="H46" s="87"/>
      <c r="I46" s="87"/>
      <c r="J46" s="87"/>
      <c r="K46" s="87"/>
    </row>
    <row r="47" spans="1:31" x14ac:dyDescent="0.3">
      <c r="E47"/>
      <c r="F47"/>
      <c r="H47" s="87"/>
      <c r="I47" s="87"/>
      <c r="J47" s="87"/>
      <c r="K47" s="87"/>
    </row>
    <row r="48" spans="1:31" x14ac:dyDescent="0.3">
      <c r="E48"/>
      <c r="F48"/>
      <c r="H48" s="87"/>
      <c r="I48" s="87"/>
      <c r="J48" s="87"/>
      <c r="K48" s="87"/>
    </row>
    <row r="49" spans="2:11" x14ac:dyDescent="0.3">
      <c r="E49"/>
      <c r="F49"/>
      <c r="H49" s="87"/>
      <c r="I49" s="87"/>
      <c r="J49" s="87"/>
      <c r="K49" s="87"/>
    </row>
    <row r="50" spans="2:11" x14ac:dyDescent="0.3">
      <c r="E50"/>
      <c r="F50"/>
      <c r="H50" s="87"/>
      <c r="I50" s="87"/>
      <c r="J50" s="87"/>
      <c r="K50" s="87"/>
    </row>
    <row r="51" spans="2:11" x14ac:dyDescent="0.3">
      <c r="E51"/>
      <c r="F51"/>
      <c r="H51" s="87"/>
      <c r="I51" s="87"/>
      <c r="J51" s="87"/>
      <c r="K51" s="87"/>
    </row>
    <row r="52" spans="2:11" x14ac:dyDescent="0.3">
      <c r="E52"/>
      <c r="F52"/>
      <c r="H52" s="87"/>
      <c r="I52" s="87"/>
      <c r="J52" s="87"/>
      <c r="K52" s="87"/>
    </row>
    <row r="53" spans="2:11" x14ac:dyDescent="0.3">
      <c r="E53"/>
      <c r="F53"/>
      <c r="H53" s="87"/>
      <c r="I53" s="87"/>
      <c r="J53" s="87"/>
      <c r="K53" s="87"/>
    </row>
    <row r="54" spans="2:11" x14ac:dyDescent="0.3">
      <c r="E54"/>
      <c r="F54"/>
      <c r="H54" s="87"/>
      <c r="I54" s="87"/>
      <c r="J54" s="87"/>
      <c r="K54" s="87"/>
    </row>
    <row r="55" spans="2:11" x14ac:dyDescent="0.3">
      <c r="E55"/>
      <c r="F55"/>
      <c r="H55" s="87"/>
      <c r="I55" s="87"/>
      <c r="J55" s="87"/>
      <c r="K55" s="87"/>
    </row>
    <row r="56" spans="2:11" x14ac:dyDescent="0.3">
      <c r="E56"/>
      <c r="F56"/>
      <c r="H56" s="87"/>
      <c r="I56" s="87"/>
      <c r="J56" s="87"/>
      <c r="K56" s="87"/>
    </row>
    <row r="57" spans="2:11" x14ac:dyDescent="0.3">
      <c r="E57"/>
      <c r="F57"/>
      <c r="H57" s="87"/>
      <c r="I57" s="87"/>
      <c r="J57" s="87"/>
      <c r="K57" s="87"/>
    </row>
    <row r="58" spans="2:11" x14ac:dyDescent="0.3">
      <c r="E58"/>
      <c r="F58"/>
      <c r="H58" s="87"/>
      <c r="I58" s="87"/>
      <c r="J58" s="87"/>
      <c r="K58" s="87"/>
    </row>
    <row r="59" spans="2:11" x14ac:dyDescent="0.3">
      <c r="E59"/>
      <c r="F59"/>
      <c r="H59" s="87"/>
      <c r="I59" s="87"/>
      <c r="J59" s="87"/>
      <c r="K59" s="87"/>
    </row>
    <row r="60" spans="2:11" x14ac:dyDescent="0.3">
      <c r="B60" s="53"/>
      <c r="D60" s="53"/>
      <c r="E60" s="53"/>
      <c r="F60" s="53"/>
      <c r="H60" s="88"/>
      <c r="I60" s="88"/>
      <c r="J60" s="88"/>
      <c r="K60" s="88"/>
    </row>
    <row r="61" spans="2:11" x14ac:dyDescent="0.3">
      <c r="B61" s="53"/>
      <c r="D61" s="53"/>
      <c r="E61" s="53"/>
      <c r="F61" s="53"/>
      <c r="H61" s="88"/>
      <c r="I61" s="88"/>
      <c r="J61" s="88"/>
      <c r="K61" s="88"/>
    </row>
    <row r="62" spans="2:11" x14ac:dyDescent="0.3">
      <c r="B62" s="54" t="s">
        <v>225</v>
      </c>
      <c r="D62" s="54"/>
      <c r="E62" s="54"/>
      <c r="F62" s="54"/>
      <c r="H62" s="89"/>
      <c r="I62" s="89"/>
      <c r="J62" s="89"/>
      <c r="K62" s="89"/>
    </row>
  </sheetData>
  <phoneticPr fontId="15" type="noConversion"/>
  <hyperlinks>
    <hyperlink ref="B62" r:id="rId1" xr:uid="{00000000-0004-0000-0100-000000000000}"/>
  </hyperlinks>
  <pageMargins left="0.7" right="0.7" top="1.14375" bottom="1.14375" header="0.51180555555555496" footer="0.51180555555555496"/>
  <pageSetup paperSize="9" firstPageNumber="0" orientation="portrait" horizontalDpi="300" verticalDpi="300"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53069-913C-4CAB-B4D0-4BD430EE7BD9}">
  <dimension ref="A1:AMK28"/>
  <sheetViews>
    <sheetView zoomScaleNormal="100" workbookViewId="0">
      <pane xSplit="2" ySplit="1" topLeftCell="C19" activePane="bottomRight" state="frozen"/>
      <selection pane="topRight" activeCell="C1" sqref="C1"/>
      <selection pane="bottomLeft" activeCell="A2" sqref="A2"/>
      <selection pane="bottomRight" activeCell="E22" sqref="E22"/>
    </sheetView>
  </sheetViews>
  <sheetFormatPr defaultRowHeight="14.4" x14ac:dyDescent="0.3"/>
  <cols>
    <col min="1" max="2" width="9.5546875" customWidth="1"/>
    <col min="3" max="3" width="7.44140625" customWidth="1"/>
    <col min="4" max="4" width="21" customWidth="1"/>
    <col min="5" max="5" width="9.5546875" customWidth="1"/>
    <col min="6" max="9" width="14.88671875" customWidth="1"/>
    <col min="10" max="10" width="12.5546875" customWidth="1"/>
    <col min="11" max="11" width="36.88671875" customWidth="1"/>
    <col min="12" max="12" width="21" customWidth="1"/>
    <col min="13" max="19" width="9.5546875" style="11" customWidth="1"/>
    <col min="20" max="20" width="11.21875" style="11" customWidth="1"/>
    <col min="21" max="23" width="9.5546875" style="11" customWidth="1"/>
    <col min="24" max="24" width="63.44140625" style="33" customWidth="1"/>
    <col min="25" max="1026" width="9.5546875" customWidth="1"/>
  </cols>
  <sheetData>
    <row r="1" spans="1:25 1025:1025" ht="57.6" x14ac:dyDescent="0.3">
      <c r="A1" s="55" t="s">
        <v>226</v>
      </c>
      <c r="B1" s="57" t="s">
        <v>440</v>
      </c>
      <c r="C1" s="56" t="s">
        <v>190</v>
      </c>
      <c r="D1" s="3" t="s">
        <v>0</v>
      </c>
      <c r="E1" s="57" t="s">
        <v>227</v>
      </c>
      <c r="F1" s="57" t="s">
        <v>228</v>
      </c>
      <c r="G1" s="55" t="s">
        <v>229</v>
      </c>
      <c r="H1" s="55" t="s">
        <v>230</v>
      </c>
      <c r="I1" s="58" t="s">
        <v>231</v>
      </c>
      <c r="J1" s="56" t="s">
        <v>232</v>
      </c>
      <c r="K1" s="55" t="s">
        <v>233</v>
      </c>
      <c r="L1" s="55" t="s">
        <v>234</v>
      </c>
      <c r="M1" s="59" t="s">
        <v>12</v>
      </c>
      <c r="N1" s="59" t="s">
        <v>235</v>
      </c>
      <c r="O1" s="59" t="s">
        <v>14</v>
      </c>
      <c r="P1" s="59" t="s">
        <v>236</v>
      </c>
      <c r="Q1" s="59" t="s">
        <v>16</v>
      </c>
      <c r="R1" s="59" t="s">
        <v>237</v>
      </c>
      <c r="S1" s="60" t="s">
        <v>238</v>
      </c>
      <c r="T1" s="60" t="s">
        <v>239</v>
      </c>
      <c r="U1" s="59" t="s">
        <v>21</v>
      </c>
      <c r="V1" s="59" t="s">
        <v>240</v>
      </c>
      <c r="W1" s="59" t="s">
        <v>19</v>
      </c>
      <c r="X1" s="60" t="s">
        <v>22</v>
      </c>
    </row>
    <row r="2" spans="1:25 1025:1025" ht="28.8" x14ac:dyDescent="0.3">
      <c r="A2" s="103" t="s">
        <v>32</v>
      </c>
      <c r="B2" s="103" t="s">
        <v>292</v>
      </c>
      <c r="C2" s="6"/>
      <c r="D2" s="62" t="s">
        <v>293</v>
      </c>
      <c r="E2" s="41">
        <v>2146</v>
      </c>
      <c r="F2" s="6">
        <v>517</v>
      </c>
      <c r="G2" s="6">
        <v>1553</v>
      </c>
      <c r="H2" s="6">
        <v>12.7</v>
      </c>
      <c r="I2" s="6">
        <v>4</v>
      </c>
      <c r="J2" s="6">
        <v>0</v>
      </c>
      <c r="K2" s="62" t="s">
        <v>243</v>
      </c>
      <c r="L2" s="62" t="s">
        <v>244</v>
      </c>
      <c r="M2" s="11">
        <v>5</v>
      </c>
      <c r="N2" s="51">
        <f t="shared" ref="N2:N15" si="0">20+E2/400</f>
        <v>25.365000000000002</v>
      </c>
      <c r="O2" s="13">
        <v>28</v>
      </c>
      <c r="P2" s="48"/>
      <c r="Q2" s="11">
        <v>3</v>
      </c>
      <c r="R2" s="45">
        <f>H2*I2/15</f>
        <v>3.3866666666666663</v>
      </c>
      <c r="S2" s="51"/>
      <c r="T2" s="51"/>
      <c r="U2" s="13">
        <v>10</v>
      </c>
      <c r="V2" s="51">
        <f t="shared" ref="V2:V15" si="1">F2/60</f>
        <v>8.6166666666666671</v>
      </c>
      <c r="W2" s="13">
        <v>9</v>
      </c>
      <c r="X2" s="33" t="s">
        <v>376</v>
      </c>
    </row>
    <row r="3" spans="1:25 1025:1025" x14ac:dyDescent="0.3">
      <c r="A3" s="103" t="s">
        <v>32</v>
      </c>
      <c r="B3" s="103" t="s">
        <v>241</v>
      </c>
      <c r="C3" s="6" t="s">
        <v>242</v>
      </c>
      <c r="D3" s="73" t="s">
        <v>283</v>
      </c>
      <c r="E3" s="41">
        <v>3367</v>
      </c>
      <c r="F3" s="6">
        <v>512</v>
      </c>
      <c r="G3" s="6">
        <v>1360</v>
      </c>
      <c r="H3" s="6">
        <v>12.7</v>
      </c>
      <c r="I3" s="6">
        <v>4</v>
      </c>
      <c r="J3" s="6">
        <v>0</v>
      </c>
      <c r="K3" s="62" t="s">
        <v>243</v>
      </c>
      <c r="L3" s="62" t="s">
        <v>244</v>
      </c>
      <c r="M3" s="11">
        <v>5</v>
      </c>
      <c r="N3" s="51">
        <f t="shared" si="0"/>
        <v>28.4175</v>
      </c>
      <c r="O3" s="13">
        <v>28</v>
      </c>
      <c r="P3" s="48"/>
      <c r="Q3" s="11">
        <v>4</v>
      </c>
      <c r="R3" s="45">
        <f>H3*I3/15</f>
        <v>3.3866666666666663</v>
      </c>
      <c r="S3" s="51"/>
      <c r="T3" s="51"/>
      <c r="U3" s="13">
        <v>10</v>
      </c>
      <c r="V3" s="51">
        <f t="shared" si="1"/>
        <v>8.5333333333333332</v>
      </c>
      <c r="W3" s="13">
        <v>9</v>
      </c>
      <c r="X3" s="33" t="s">
        <v>377</v>
      </c>
    </row>
    <row r="4" spans="1:25 1025:1025" ht="28.8" x14ac:dyDescent="0.3">
      <c r="A4" s="61" t="s">
        <v>32</v>
      </c>
      <c r="B4" s="61" t="s">
        <v>310</v>
      </c>
      <c r="C4" s="6"/>
      <c r="D4" s="73" t="s">
        <v>141</v>
      </c>
      <c r="E4" s="41">
        <v>5800</v>
      </c>
      <c r="F4" s="6">
        <v>660</v>
      </c>
      <c r="G4" s="6">
        <v>2100</v>
      </c>
      <c r="H4" s="6">
        <v>12.7</v>
      </c>
      <c r="I4" s="6">
        <v>6</v>
      </c>
      <c r="J4" s="6">
        <v>0</v>
      </c>
      <c r="K4" s="62" t="s">
        <v>243</v>
      </c>
      <c r="L4" s="62" t="s">
        <v>244</v>
      </c>
      <c r="M4" s="11">
        <v>6</v>
      </c>
      <c r="N4" s="51">
        <f t="shared" si="0"/>
        <v>34.5</v>
      </c>
      <c r="O4" s="13">
        <v>28</v>
      </c>
      <c r="P4" s="48"/>
      <c r="Q4" s="11">
        <v>4</v>
      </c>
      <c r="R4" s="45">
        <f t="shared" ref="R4:R15" si="2">H4*I4/15</f>
        <v>5.0799999999999992</v>
      </c>
      <c r="S4" s="51"/>
      <c r="T4" s="51"/>
      <c r="U4" s="13">
        <v>10</v>
      </c>
      <c r="V4" s="51">
        <f t="shared" si="1"/>
        <v>11</v>
      </c>
      <c r="W4" s="13">
        <v>9</v>
      </c>
      <c r="X4" s="33" t="s">
        <v>377</v>
      </c>
    </row>
    <row r="5" spans="1:25 1025:1025" ht="28.8" x14ac:dyDescent="0.3">
      <c r="A5" s="103" t="s">
        <v>245</v>
      </c>
      <c r="B5" s="103" t="s">
        <v>294</v>
      </c>
      <c r="C5" s="6" t="s">
        <v>105</v>
      </c>
      <c r="D5" s="62" t="s">
        <v>295</v>
      </c>
      <c r="E5" s="41">
        <v>1490</v>
      </c>
      <c r="F5" s="6">
        <v>525</v>
      </c>
      <c r="G5" s="6">
        <v>700</v>
      </c>
      <c r="H5" s="6">
        <v>20</v>
      </c>
      <c r="I5" s="6">
        <v>2</v>
      </c>
      <c r="J5" s="6">
        <v>0</v>
      </c>
      <c r="K5" s="62" t="s">
        <v>247</v>
      </c>
      <c r="L5" s="62" t="s">
        <v>248</v>
      </c>
      <c r="M5" s="11">
        <v>5</v>
      </c>
      <c r="N5" s="51">
        <f t="shared" si="0"/>
        <v>23.725000000000001</v>
      </c>
      <c r="O5" s="13">
        <v>21</v>
      </c>
      <c r="P5" s="48"/>
      <c r="Q5" s="11">
        <v>3</v>
      </c>
      <c r="R5" s="45">
        <f t="shared" si="2"/>
        <v>2.6666666666666665</v>
      </c>
      <c r="S5" s="51"/>
      <c r="T5" s="51"/>
      <c r="U5" s="13">
        <v>10</v>
      </c>
      <c r="V5" s="51">
        <f t="shared" si="1"/>
        <v>8.75</v>
      </c>
      <c r="W5" s="13">
        <v>10</v>
      </c>
      <c r="X5" s="33" t="s">
        <v>376</v>
      </c>
    </row>
    <row r="6" spans="1:25 1025:1025" ht="28.8" x14ac:dyDescent="0.3">
      <c r="A6" s="103" t="s">
        <v>245</v>
      </c>
      <c r="B6" s="103" t="s">
        <v>246</v>
      </c>
      <c r="C6" s="6"/>
      <c r="D6" s="73" t="s">
        <v>105</v>
      </c>
      <c r="E6" s="41">
        <v>2883</v>
      </c>
      <c r="F6" s="6">
        <v>592</v>
      </c>
      <c r="G6" s="6">
        <v>700</v>
      </c>
      <c r="H6" s="6">
        <v>20</v>
      </c>
      <c r="I6" s="6">
        <v>2</v>
      </c>
      <c r="J6" s="6">
        <v>0</v>
      </c>
      <c r="K6" s="62" t="s">
        <v>247</v>
      </c>
      <c r="L6" s="62" t="s">
        <v>248</v>
      </c>
      <c r="M6" s="11">
        <v>5</v>
      </c>
      <c r="N6" s="51">
        <f t="shared" si="0"/>
        <v>27.2075</v>
      </c>
      <c r="O6" s="13">
        <v>21</v>
      </c>
      <c r="P6" s="48"/>
      <c r="Q6" s="11">
        <v>4</v>
      </c>
      <c r="R6" s="45">
        <f t="shared" si="2"/>
        <v>2.6666666666666665</v>
      </c>
      <c r="S6" s="51"/>
      <c r="T6" s="51"/>
      <c r="U6" s="13">
        <v>10</v>
      </c>
      <c r="V6" s="51">
        <f t="shared" si="1"/>
        <v>9.8666666666666671</v>
      </c>
      <c r="W6" s="13">
        <v>10</v>
      </c>
      <c r="X6" s="33" t="s">
        <v>377</v>
      </c>
    </row>
    <row r="7" spans="1:25 1025:1025" ht="57.6" x14ac:dyDescent="0.3">
      <c r="A7" s="61" t="s">
        <v>44</v>
      </c>
      <c r="B7" s="61" t="s">
        <v>415</v>
      </c>
      <c r="C7" s="6" t="s">
        <v>141</v>
      </c>
      <c r="D7" s="73" t="s">
        <v>286</v>
      </c>
      <c r="E7" s="41">
        <v>4417</v>
      </c>
      <c r="F7" s="6">
        <v>653</v>
      </c>
      <c r="G7" s="6">
        <v>800</v>
      </c>
      <c r="H7" s="6">
        <v>20</v>
      </c>
      <c r="I7" s="6">
        <v>4</v>
      </c>
      <c r="J7" s="6">
        <v>0</v>
      </c>
      <c r="K7" s="62" t="s">
        <v>260</v>
      </c>
      <c r="L7" s="62" t="s">
        <v>261</v>
      </c>
      <c r="M7" s="11">
        <v>5</v>
      </c>
      <c r="N7" s="51">
        <f t="shared" si="0"/>
        <v>31.0425</v>
      </c>
      <c r="O7" s="13">
        <v>30</v>
      </c>
      <c r="P7" s="48"/>
      <c r="Q7" s="11">
        <v>3</v>
      </c>
      <c r="R7" s="45">
        <f t="shared" si="2"/>
        <v>5.333333333333333</v>
      </c>
      <c r="S7" s="51"/>
      <c r="T7" s="51"/>
      <c r="U7" s="13">
        <v>11</v>
      </c>
      <c r="V7" s="51">
        <f t="shared" si="1"/>
        <v>10.883333333333333</v>
      </c>
      <c r="W7" s="13">
        <v>9</v>
      </c>
      <c r="X7" s="33" t="s">
        <v>377</v>
      </c>
    </row>
    <row r="8" spans="1:25 1025:1025" ht="43.2" x14ac:dyDescent="0.3">
      <c r="A8" s="103" t="s">
        <v>44</v>
      </c>
      <c r="B8" s="103" t="s">
        <v>249</v>
      </c>
      <c r="C8" s="6" t="s">
        <v>242</v>
      </c>
      <c r="D8" s="62" t="s">
        <v>271</v>
      </c>
      <c r="E8" s="6">
        <v>3148</v>
      </c>
      <c r="F8" s="6">
        <v>560</v>
      </c>
      <c r="G8" s="6">
        <v>850</v>
      </c>
      <c r="H8" s="6">
        <v>20</v>
      </c>
      <c r="I8" s="6">
        <v>4</v>
      </c>
      <c r="J8" s="6">
        <v>0</v>
      </c>
      <c r="K8" s="62" t="s">
        <v>250</v>
      </c>
      <c r="L8" s="62" t="s">
        <v>248</v>
      </c>
      <c r="M8" s="11">
        <v>5</v>
      </c>
      <c r="N8" s="51">
        <f t="shared" si="0"/>
        <v>27.87</v>
      </c>
      <c r="O8" s="13">
        <v>30</v>
      </c>
      <c r="P8" s="48"/>
      <c r="Q8" s="11">
        <v>3</v>
      </c>
      <c r="R8" s="45">
        <f t="shared" si="2"/>
        <v>5.333333333333333</v>
      </c>
      <c r="S8" s="51"/>
      <c r="T8" s="51"/>
      <c r="U8" s="13">
        <v>11</v>
      </c>
      <c r="V8" s="51">
        <f t="shared" si="1"/>
        <v>9.3333333333333339</v>
      </c>
      <c r="W8" s="13">
        <v>9</v>
      </c>
      <c r="X8" s="33" t="s">
        <v>377</v>
      </c>
    </row>
    <row r="9" spans="1:25 1025:1025" x14ac:dyDescent="0.3">
      <c r="A9" s="103" t="s">
        <v>27</v>
      </c>
      <c r="B9" s="103" t="s">
        <v>251</v>
      </c>
      <c r="C9" s="6" t="s">
        <v>252</v>
      </c>
      <c r="D9" s="62" t="s">
        <v>284</v>
      </c>
      <c r="E9" s="6">
        <v>2297</v>
      </c>
      <c r="F9" s="6">
        <v>595</v>
      </c>
      <c r="G9" s="6">
        <v>756</v>
      </c>
      <c r="H9" s="6">
        <v>7.7</v>
      </c>
      <c r="I9" s="6">
        <v>8</v>
      </c>
      <c r="J9" s="6">
        <v>0</v>
      </c>
      <c r="K9" s="62"/>
      <c r="L9" s="62"/>
      <c r="M9" s="11">
        <v>5</v>
      </c>
      <c r="N9" s="51">
        <f t="shared" si="0"/>
        <v>25.7425</v>
      </c>
      <c r="O9" s="13">
        <v>30</v>
      </c>
      <c r="P9" s="48"/>
      <c r="Q9" s="11">
        <v>3</v>
      </c>
      <c r="R9" s="45">
        <f t="shared" si="2"/>
        <v>4.1066666666666665</v>
      </c>
      <c r="S9" s="51"/>
      <c r="T9" s="51"/>
      <c r="U9" s="13">
        <v>11</v>
      </c>
      <c r="V9" s="51">
        <f t="shared" si="1"/>
        <v>9.9166666666666661</v>
      </c>
      <c r="W9" s="13">
        <v>9</v>
      </c>
      <c r="X9" s="33" t="s">
        <v>377</v>
      </c>
    </row>
    <row r="10" spans="1:25 1025:1025" x14ac:dyDescent="0.3">
      <c r="A10" s="103" t="s">
        <v>24</v>
      </c>
      <c r="B10" s="103" t="s">
        <v>328</v>
      </c>
      <c r="C10" s="6" t="s">
        <v>252</v>
      </c>
      <c r="D10" s="62">
        <v>1939</v>
      </c>
      <c r="E10" s="6">
        <v>1100</v>
      </c>
      <c r="F10" s="6">
        <v>470</v>
      </c>
      <c r="G10" s="6">
        <v>627</v>
      </c>
      <c r="H10" s="6">
        <v>7.7</v>
      </c>
      <c r="I10" s="6">
        <v>2</v>
      </c>
      <c r="J10" s="6">
        <v>0</v>
      </c>
      <c r="K10" s="62"/>
      <c r="L10" s="62"/>
      <c r="M10" s="11">
        <v>3</v>
      </c>
      <c r="N10" s="51">
        <f t="shared" si="0"/>
        <v>22.75</v>
      </c>
      <c r="O10" s="13">
        <v>30</v>
      </c>
      <c r="P10" s="48"/>
      <c r="Q10" s="11">
        <v>1</v>
      </c>
      <c r="R10" s="45">
        <f t="shared" si="2"/>
        <v>1.0266666666666666</v>
      </c>
      <c r="S10" s="51"/>
      <c r="T10" s="51"/>
      <c r="U10" s="13">
        <v>11</v>
      </c>
      <c r="V10" s="51">
        <f t="shared" si="1"/>
        <v>7.833333333333333</v>
      </c>
      <c r="W10" s="13">
        <v>9</v>
      </c>
      <c r="X10" s="33" t="s">
        <v>377</v>
      </c>
    </row>
    <row r="11" spans="1:25 1025:1025" ht="57.6" x14ac:dyDescent="0.3">
      <c r="A11" s="61" t="s">
        <v>24</v>
      </c>
      <c r="B11" s="61" t="s">
        <v>366</v>
      </c>
      <c r="C11" s="6"/>
      <c r="D11" s="73" t="s">
        <v>283</v>
      </c>
      <c r="E11" s="6">
        <v>1680</v>
      </c>
      <c r="F11" s="6">
        <v>533</v>
      </c>
      <c r="G11" s="6">
        <v>1870</v>
      </c>
      <c r="H11" s="6">
        <v>20</v>
      </c>
      <c r="I11" s="16">
        <v>3</v>
      </c>
      <c r="J11" s="6">
        <v>0</v>
      </c>
      <c r="K11" s="62"/>
      <c r="L11" s="62"/>
      <c r="M11" s="11">
        <v>4</v>
      </c>
      <c r="N11" s="51">
        <f t="shared" si="0"/>
        <v>24.2</v>
      </c>
      <c r="O11" s="13">
        <v>30</v>
      </c>
      <c r="P11" s="48"/>
      <c r="Q11" s="11">
        <v>1</v>
      </c>
      <c r="R11" s="45">
        <f t="shared" si="2"/>
        <v>4</v>
      </c>
      <c r="S11" s="51"/>
      <c r="T11" s="51"/>
      <c r="U11" s="13">
        <v>11</v>
      </c>
      <c r="V11" s="51">
        <f t="shared" si="1"/>
        <v>8.8833333333333329</v>
      </c>
      <c r="W11" s="13">
        <v>9</v>
      </c>
      <c r="X11" s="33" t="s">
        <v>377</v>
      </c>
    </row>
    <row r="12" spans="1:25 1025:1025" ht="28.8" x14ac:dyDescent="0.3">
      <c r="A12" s="61" t="s">
        <v>24</v>
      </c>
      <c r="B12" s="61" t="s">
        <v>367</v>
      </c>
      <c r="C12" s="6"/>
      <c r="D12" s="74">
        <v>1944</v>
      </c>
      <c r="E12" s="16">
        <v>1680</v>
      </c>
      <c r="F12" s="6">
        <v>565</v>
      </c>
      <c r="G12" s="6">
        <v>1870</v>
      </c>
      <c r="H12" s="6">
        <v>20</v>
      </c>
      <c r="I12" s="16">
        <v>4</v>
      </c>
      <c r="J12" s="6">
        <v>0</v>
      </c>
      <c r="K12" s="62"/>
      <c r="L12" s="62"/>
      <c r="M12" s="11">
        <v>4</v>
      </c>
      <c r="N12" s="51">
        <f t="shared" si="0"/>
        <v>24.2</v>
      </c>
      <c r="O12" s="13">
        <v>30</v>
      </c>
      <c r="P12" s="48"/>
      <c r="Q12" s="11">
        <v>1</v>
      </c>
      <c r="R12" s="45">
        <f t="shared" si="2"/>
        <v>5.333333333333333</v>
      </c>
      <c r="S12" s="51"/>
      <c r="T12" s="51"/>
      <c r="U12" s="13">
        <v>11</v>
      </c>
      <c r="V12" s="51">
        <f t="shared" si="1"/>
        <v>9.4166666666666661</v>
      </c>
      <c r="W12" s="13">
        <v>9</v>
      </c>
      <c r="X12" s="33" t="s">
        <v>377</v>
      </c>
    </row>
    <row r="13" spans="1:25 1025:1025" ht="28.8" x14ac:dyDescent="0.3">
      <c r="A13" s="61" t="s">
        <v>24</v>
      </c>
      <c r="B13" s="61" t="s">
        <v>368</v>
      </c>
      <c r="C13" s="6"/>
      <c r="D13" s="74">
        <v>1945</v>
      </c>
      <c r="E13" s="16">
        <v>1680</v>
      </c>
      <c r="F13" s="6">
        <v>573</v>
      </c>
      <c r="G13" s="6">
        <v>1870</v>
      </c>
      <c r="H13" s="6">
        <v>20</v>
      </c>
      <c r="I13" s="16">
        <v>4</v>
      </c>
      <c r="J13" s="6">
        <v>0</v>
      </c>
      <c r="K13" s="62"/>
      <c r="L13" s="62"/>
      <c r="M13" s="11">
        <v>4</v>
      </c>
      <c r="N13" s="51">
        <f t="shared" si="0"/>
        <v>24.2</v>
      </c>
      <c r="O13" s="13">
        <v>30</v>
      </c>
      <c r="P13" s="48"/>
      <c r="Q13" s="11">
        <v>1</v>
      </c>
      <c r="R13" s="45">
        <f t="shared" si="2"/>
        <v>5.333333333333333</v>
      </c>
      <c r="S13" s="51"/>
      <c r="T13" s="51"/>
      <c r="U13" s="13">
        <v>11</v>
      </c>
      <c r="V13" s="51">
        <f t="shared" si="1"/>
        <v>9.5500000000000007</v>
      </c>
      <c r="W13" s="13">
        <v>9</v>
      </c>
      <c r="X13" s="33" t="s">
        <v>378</v>
      </c>
      <c r="Y13" t="s">
        <v>369</v>
      </c>
    </row>
    <row r="14" spans="1:25 1025:1025" ht="28.8" x14ac:dyDescent="0.3">
      <c r="A14" s="61" t="s">
        <v>24</v>
      </c>
      <c r="B14" s="61" t="s">
        <v>332</v>
      </c>
      <c r="C14" s="6"/>
      <c r="D14" s="74">
        <v>1945</v>
      </c>
      <c r="E14" s="6">
        <v>3645</v>
      </c>
      <c r="F14" s="16">
        <v>650</v>
      </c>
      <c r="G14" s="6">
        <v>852</v>
      </c>
      <c r="H14" s="6">
        <v>30</v>
      </c>
      <c r="I14" s="6">
        <v>4</v>
      </c>
      <c r="J14" s="6">
        <v>0</v>
      </c>
      <c r="K14" s="62"/>
      <c r="L14" s="62"/>
      <c r="M14" s="11">
        <v>5</v>
      </c>
      <c r="N14" s="51">
        <f t="shared" si="0"/>
        <v>29.112500000000001</v>
      </c>
      <c r="O14" s="13">
        <v>30</v>
      </c>
      <c r="P14" s="48"/>
      <c r="Q14" s="11">
        <v>1</v>
      </c>
      <c r="R14" s="45">
        <f>H14*I14/15</f>
        <v>8</v>
      </c>
      <c r="S14" s="51"/>
      <c r="T14" s="51"/>
      <c r="U14" s="13">
        <v>11</v>
      </c>
      <c r="V14" s="51">
        <f t="shared" si="1"/>
        <v>10.833333333333334</v>
      </c>
      <c r="W14" s="13">
        <v>9</v>
      </c>
      <c r="X14" s="33" t="s">
        <v>377</v>
      </c>
    </row>
    <row r="15" spans="1:25 1025:1025" ht="43.2" x14ac:dyDescent="0.3">
      <c r="A15" s="61" t="s">
        <v>24</v>
      </c>
      <c r="B15" s="61" t="s">
        <v>333</v>
      </c>
      <c r="C15" s="6"/>
      <c r="D15" s="74">
        <v>1945</v>
      </c>
      <c r="E15" s="6">
        <v>3645</v>
      </c>
      <c r="F15" s="6">
        <v>750</v>
      </c>
      <c r="G15" s="6">
        <v>852</v>
      </c>
      <c r="H15" s="6">
        <v>30</v>
      </c>
      <c r="I15" s="6">
        <v>4</v>
      </c>
      <c r="J15" s="6">
        <v>0</v>
      </c>
      <c r="K15" s="62"/>
      <c r="L15" s="62"/>
      <c r="M15" s="11">
        <v>5</v>
      </c>
      <c r="N15" s="51">
        <f t="shared" si="0"/>
        <v>29.112500000000001</v>
      </c>
      <c r="O15" s="13">
        <v>30</v>
      </c>
      <c r="P15" s="48"/>
      <c r="Q15" s="11">
        <v>1</v>
      </c>
      <c r="R15" s="45">
        <f t="shared" si="2"/>
        <v>8</v>
      </c>
      <c r="S15" s="51"/>
      <c r="T15" s="51"/>
      <c r="U15" s="13">
        <v>11</v>
      </c>
      <c r="V15" s="51">
        <f t="shared" si="1"/>
        <v>12.5</v>
      </c>
      <c r="W15" s="13">
        <v>9</v>
      </c>
      <c r="X15" s="33" t="s">
        <v>377</v>
      </c>
    </row>
    <row r="16" spans="1:25 1025:1025" s="68" customFormat="1" x14ac:dyDescent="0.3">
      <c r="A16" s="63" t="s">
        <v>253</v>
      </c>
      <c r="B16" s="64"/>
      <c r="C16" s="65"/>
      <c r="D16" s="66"/>
      <c r="E16" s="64"/>
      <c r="F16" s="65"/>
      <c r="G16" s="65"/>
      <c r="H16" s="65"/>
      <c r="I16" s="65"/>
      <c r="J16" s="65"/>
      <c r="K16" s="66"/>
      <c r="L16" s="66"/>
      <c r="M16" s="67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AMK16"/>
    </row>
    <row r="17" spans="1:24 1025:1025" ht="28.8" x14ac:dyDescent="0.3">
      <c r="A17" s="103" t="s">
        <v>32</v>
      </c>
      <c r="B17" s="103" t="s">
        <v>254</v>
      </c>
      <c r="C17" s="6" t="s">
        <v>255</v>
      </c>
      <c r="D17" s="73" t="s">
        <v>285</v>
      </c>
      <c r="E17" s="41">
        <v>4175</v>
      </c>
      <c r="F17" s="6">
        <v>640</v>
      </c>
      <c r="G17" s="6">
        <v>1617</v>
      </c>
      <c r="H17" s="6">
        <v>12.7</v>
      </c>
      <c r="I17" s="6">
        <v>6</v>
      </c>
      <c r="J17" s="6">
        <v>1800</v>
      </c>
      <c r="K17" s="62" t="s">
        <v>256</v>
      </c>
      <c r="L17" s="62" t="s">
        <v>257</v>
      </c>
      <c r="M17" s="11">
        <v>6</v>
      </c>
      <c r="N17" s="51">
        <f t="shared" ref="N17:N23" si="3">20+E17/400</f>
        <v>30.4375</v>
      </c>
      <c r="O17" s="13">
        <v>27</v>
      </c>
      <c r="P17" s="48"/>
      <c r="Q17" s="11">
        <v>2</v>
      </c>
      <c r="R17" s="51">
        <f t="shared" ref="R17:R23" si="4">H17*I17/5</f>
        <v>15.239999999999998</v>
      </c>
      <c r="S17" s="45">
        <f t="shared" ref="S17:S23" si="5">J17/12</f>
        <v>150</v>
      </c>
      <c r="T17" s="45">
        <f t="shared" ref="T17:T23" si="6">(S17-R17)/R17</f>
        <v>8.8425196850393704</v>
      </c>
      <c r="U17" s="13">
        <v>10</v>
      </c>
      <c r="V17" s="51">
        <f t="shared" ref="V17:V23" si="7">F17/60</f>
        <v>10.666666666666666</v>
      </c>
      <c r="W17" s="13">
        <v>11</v>
      </c>
      <c r="X17" s="13" t="s">
        <v>258</v>
      </c>
    </row>
    <row r="18" spans="1:24 1025:1025" ht="72" x14ac:dyDescent="0.3">
      <c r="A18" s="103" t="s">
        <v>27</v>
      </c>
      <c r="B18" s="103" t="s">
        <v>445</v>
      </c>
      <c r="C18" s="6"/>
      <c r="D18" s="73" t="s">
        <v>34</v>
      </c>
      <c r="E18" s="41">
        <v>3400</v>
      </c>
      <c r="F18" s="6">
        <v>550</v>
      </c>
      <c r="G18" s="6">
        <v>970</v>
      </c>
      <c r="H18" s="6">
        <v>20</v>
      </c>
      <c r="I18" s="6">
        <v>4</v>
      </c>
      <c r="J18" s="6">
        <v>460</v>
      </c>
      <c r="K18" s="62"/>
      <c r="L18" s="62"/>
      <c r="M18" s="11">
        <v>6</v>
      </c>
      <c r="N18" s="51">
        <f t="shared" si="3"/>
        <v>28.5</v>
      </c>
      <c r="O18" s="13">
        <v>27</v>
      </c>
      <c r="P18" s="48"/>
      <c r="Q18" s="11">
        <v>2</v>
      </c>
      <c r="R18" s="51">
        <f t="shared" si="4"/>
        <v>16</v>
      </c>
      <c r="S18" s="45">
        <f t="shared" si="5"/>
        <v>38.333333333333336</v>
      </c>
      <c r="T18" s="45">
        <f t="shared" si="6"/>
        <v>1.3958333333333335</v>
      </c>
      <c r="U18" s="13">
        <v>10</v>
      </c>
      <c r="V18" s="51">
        <f t="shared" si="7"/>
        <v>9.1666666666666661</v>
      </c>
      <c r="W18" s="13">
        <v>11</v>
      </c>
      <c r="X18" s="13" t="s">
        <v>258</v>
      </c>
    </row>
    <row r="19" spans="1:24 1025:1025" ht="43.2" x14ac:dyDescent="0.3">
      <c r="A19" s="103" t="s">
        <v>44</v>
      </c>
      <c r="B19" s="103" t="s">
        <v>259</v>
      </c>
      <c r="C19" s="6" t="s">
        <v>141</v>
      </c>
      <c r="D19" s="73" t="s">
        <v>286</v>
      </c>
      <c r="E19" s="41">
        <v>4417</v>
      </c>
      <c r="F19" s="6">
        <v>653</v>
      </c>
      <c r="G19" s="6">
        <v>800</v>
      </c>
      <c r="H19" s="6">
        <v>20</v>
      </c>
      <c r="I19" s="6">
        <v>4</v>
      </c>
      <c r="J19" s="6">
        <v>500</v>
      </c>
      <c r="K19" s="62" t="s">
        <v>260</v>
      </c>
      <c r="L19" s="62" t="s">
        <v>261</v>
      </c>
      <c r="M19" s="11">
        <v>6</v>
      </c>
      <c r="N19" s="51">
        <f t="shared" si="3"/>
        <v>31.0425</v>
      </c>
      <c r="O19" s="13">
        <v>23</v>
      </c>
      <c r="P19" s="48"/>
      <c r="Q19" s="11">
        <v>4</v>
      </c>
      <c r="R19" s="51">
        <f t="shared" si="4"/>
        <v>16</v>
      </c>
      <c r="S19" s="45">
        <f t="shared" si="5"/>
        <v>41.666666666666664</v>
      </c>
      <c r="T19" s="45">
        <f t="shared" si="6"/>
        <v>1.6041666666666665</v>
      </c>
      <c r="U19" s="13">
        <v>10</v>
      </c>
      <c r="V19" s="51">
        <f t="shared" si="7"/>
        <v>10.883333333333333</v>
      </c>
      <c r="W19" s="13">
        <v>11</v>
      </c>
      <c r="X19" s="13" t="s">
        <v>258</v>
      </c>
    </row>
    <row r="20" spans="1:24 1025:1025" ht="28.8" x14ac:dyDescent="0.3">
      <c r="A20" s="103" t="s">
        <v>245</v>
      </c>
      <c r="B20" s="103" t="s">
        <v>262</v>
      </c>
      <c r="C20" s="6" t="s">
        <v>141</v>
      </c>
      <c r="D20" s="73" t="s">
        <v>287</v>
      </c>
      <c r="E20" s="41">
        <v>4360</v>
      </c>
      <c r="F20" s="6">
        <v>414</v>
      </c>
      <c r="G20" s="6">
        <v>720</v>
      </c>
      <c r="H20" s="6">
        <v>13</v>
      </c>
      <c r="I20" s="6">
        <v>5</v>
      </c>
      <c r="J20" s="6">
        <v>600</v>
      </c>
      <c r="K20" s="62" t="s">
        <v>263</v>
      </c>
      <c r="L20" s="62" t="s">
        <v>261</v>
      </c>
      <c r="M20" s="11">
        <v>6</v>
      </c>
      <c r="N20" s="51">
        <f t="shared" si="3"/>
        <v>30.9</v>
      </c>
      <c r="O20" s="13">
        <v>25</v>
      </c>
      <c r="P20" s="48"/>
      <c r="Q20" s="11">
        <v>3</v>
      </c>
      <c r="R20" s="51">
        <f t="shared" si="4"/>
        <v>13</v>
      </c>
      <c r="S20" s="45">
        <f t="shared" si="5"/>
        <v>50</v>
      </c>
      <c r="T20" s="45">
        <f t="shared" si="6"/>
        <v>2.8461538461538463</v>
      </c>
      <c r="U20" s="13">
        <v>10</v>
      </c>
      <c r="V20" s="51">
        <f t="shared" si="7"/>
        <v>6.9</v>
      </c>
      <c r="W20" s="13">
        <v>7</v>
      </c>
      <c r="X20" s="13" t="s">
        <v>258</v>
      </c>
    </row>
    <row r="21" spans="1:24 1025:1025" ht="28.8" x14ac:dyDescent="0.3">
      <c r="A21" s="61" t="s">
        <v>44</v>
      </c>
      <c r="B21" s="61" t="s">
        <v>375</v>
      </c>
      <c r="C21" s="6"/>
      <c r="D21" s="62" t="s">
        <v>288</v>
      </c>
      <c r="E21" s="41">
        <v>2712</v>
      </c>
      <c r="F21" s="6">
        <v>383</v>
      </c>
      <c r="G21" s="6">
        <v>595</v>
      </c>
      <c r="H21" s="6">
        <v>7.92</v>
      </c>
      <c r="I21" s="6">
        <v>2</v>
      </c>
      <c r="J21" s="6">
        <v>250</v>
      </c>
      <c r="K21" s="62"/>
      <c r="L21" s="62"/>
      <c r="M21" s="11">
        <v>5</v>
      </c>
      <c r="N21" s="51">
        <f t="shared" si="3"/>
        <v>26.78</v>
      </c>
      <c r="O21" s="13">
        <v>20</v>
      </c>
      <c r="P21" s="48"/>
      <c r="Q21" s="11">
        <v>3</v>
      </c>
      <c r="R21" s="51">
        <f t="shared" si="4"/>
        <v>3.1680000000000001</v>
      </c>
      <c r="S21" s="45">
        <f t="shared" si="5"/>
        <v>20.833333333333332</v>
      </c>
      <c r="T21" s="45">
        <f t="shared" si="6"/>
        <v>5.5761784511784507</v>
      </c>
      <c r="U21" s="13">
        <v>5</v>
      </c>
      <c r="V21" s="51">
        <f t="shared" si="7"/>
        <v>6.3833333333333337</v>
      </c>
      <c r="W21" s="13">
        <v>5</v>
      </c>
      <c r="X21" s="13" t="s">
        <v>258</v>
      </c>
    </row>
    <row r="22" spans="1:24 1025:1025" x14ac:dyDescent="0.3">
      <c r="A22" s="61" t="s">
        <v>44</v>
      </c>
      <c r="B22" s="61" t="s">
        <v>276</v>
      </c>
      <c r="C22" s="6" t="s">
        <v>109</v>
      </c>
      <c r="D22" s="74">
        <v>1944</v>
      </c>
      <c r="E22" s="41">
        <v>3800</v>
      </c>
      <c r="F22" s="6">
        <v>850</v>
      </c>
      <c r="G22" s="6">
        <v>1050</v>
      </c>
      <c r="H22" s="6">
        <v>30</v>
      </c>
      <c r="I22" s="6">
        <v>4</v>
      </c>
      <c r="J22" s="6">
        <v>500</v>
      </c>
      <c r="K22" s="62"/>
      <c r="L22" s="62"/>
      <c r="M22" s="11">
        <v>8</v>
      </c>
      <c r="N22" s="51">
        <f t="shared" si="3"/>
        <v>29.5</v>
      </c>
      <c r="P22" s="48"/>
      <c r="Q22" s="11">
        <v>4</v>
      </c>
      <c r="R22" s="51">
        <f t="shared" si="4"/>
        <v>24</v>
      </c>
      <c r="S22" s="45">
        <f t="shared" si="5"/>
        <v>41.666666666666664</v>
      </c>
      <c r="T22" s="45">
        <f t="shared" si="6"/>
        <v>0.73611111111111105</v>
      </c>
      <c r="V22" s="51">
        <f t="shared" si="7"/>
        <v>14.166666666666666</v>
      </c>
      <c r="X22" s="11"/>
    </row>
    <row r="23" spans="1:24 1025:1025" ht="51" customHeight="1" x14ac:dyDescent="0.3">
      <c r="A23" s="61" t="s">
        <v>24</v>
      </c>
      <c r="B23" s="61" t="s">
        <v>321</v>
      </c>
      <c r="C23" s="6" t="s">
        <v>59</v>
      </c>
      <c r="D23" s="74" t="s">
        <v>59</v>
      </c>
      <c r="E23" s="41">
        <v>3300</v>
      </c>
      <c r="F23" s="6">
        <v>474</v>
      </c>
      <c r="G23" s="6">
        <v>1180</v>
      </c>
      <c r="H23" s="6">
        <v>13</v>
      </c>
      <c r="I23" s="6">
        <v>1</v>
      </c>
      <c r="J23" s="6">
        <v>500</v>
      </c>
      <c r="K23" s="62"/>
      <c r="L23" s="62"/>
      <c r="M23" s="11">
        <v>6</v>
      </c>
      <c r="N23" s="51">
        <f t="shared" si="3"/>
        <v>28.25</v>
      </c>
      <c r="O23" s="13">
        <v>20</v>
      </c>
      <c r="P23" s="48"/>
      <c r="Q23" s="11">
        <v>2</v>
      </c>
      <c r="R23" s="51">
        <f t="shared" si="4"/>
        <v>2.6</v>
      </c>
      <c r="S23" s="45">
        <f t="shared" si="5"/>
        <v>41.666666666666664</v>
      </c>
      <c r="T23" s="45">
        <f t="shared" si="6"/>
        <v>15.025641025641024</v>
      </c>
      <c r="U23" s="13">
        <v>5</v>
      </c>
      <c r="V23" s="51">
        <f t="shared" si="7"/>
        <v>7.9</v>
      </c>
      <c r="W23" s="13">
        <v>5</v>
      </c>
      <c r="X23" s="13" t="s">
        <v>258</v>
      </c>
    </row>
    <row r="24" spans="1:24 1025:1025" s="68" customFormat="1" ht="15" customHeight="1" x14ac:dyDescent="0.3">
      <c r="A24" s="116" t="s">
        <v>311</v>
      </c>
      <c r="B24" s="117"/>
      <c r="C24" s="117"/>
      <c r="D24" s="118"/>
      <c r="E24" s="64"/>
      <c r="F24" s="65"/>
      <c r="G24" s="65"/>
      <c r="H24" s="65"/>
      <c r="I24" s="65"/>
      <c r="J24" s="65"/>
      <c r="K24" s="66"/>
      <c r="L24" s="66"/>
      <c r="M24" s="67"/>
      <c r="N24" s="70"/>
      <c r="O24" s="67"/>
      <c r="P24" s="70"/>
      <c r="Q24" s="67"/>
      <c r="R24" s="70"/>
      <c r="S24" s="70"/>
      <c r="T24" s="70"/>
      <c r="U24" s="67"/>
      <c r="V24" s="70"/>
      <c r="W24" s="67"/>
      <c r="X24" s="71"/>
      <c r="AMK24"/>
    </row>
    <row r="25" spans="1:24 1025:1025" ht="43.2" x14ac:dyDescent="0.3">
      <c r="A25" s="61" t="s">
        <v>32</v>
      </c>
      <c r="B25" s="61" t="s">
        <v>312</v>
      </c>
      <c r="C25" s="6"/>
      <c r="D25" s="73" t="s">
        <v>313</v>
      </c>
      <c r="E25" s="41">
        <v>8000</v>
      </c>
      <c r="F25" s="6">
        <v>360</v>
      </c>
      <c r="G25" s="6">
        <v>2500</v>
      </c>
      <c r="H25" s="6">
        <v>0</v>
      </c>
      <c r="I25" s="6">
        <v>0</v>
      </c>
      <c r="J25" s="6">
        <v>0</v>
      </c>
      <c r="K25" s="62"/>
      <c r="L25" s="62"/>
      <c r="M25" s="11">
        <v>5</v>
      </c>
      <c r="N25" s="51">
        <f>20+E25/400</f>
        <v>40</v>
      </c>
      <c r="O25" s="13">
        <v>23</v>
      </c>
      <c r="P25" s="48"/>
      <c r="Q25" s="11">
        <v>0</v>
      </c>
      <c r="R25" s="51">
        <f>H25*I25/5</f>
        <v>0</v>
      </c>
      <c r="S25" s="45">
        <f>J25/12</f>
        <v>0</v>
      </c>
      <c r="T25" s="45">
        <v>0</v>
      </c>
      <c r="U25" s="13">
        <v>6</v>
      </c>
      <c r="V25" s="51">
        <f>F25/70</f>
        <v>5.1428571428571432</v>
      </c>
      <c r="W25" s="13">
        <v>5</v>
      </c>
      <c r="X25" s="13"/>
    </row>
    <row r="26" spans="1:24 1025:1025" ht="43.2" x14ac:dyDescent="0.3">
      <c r="A26" s="61" t="s">
        <v>27</v>
      </c>
      <c r="B26" s="61" t="s">
        <v>312</v>
      </c>
      <c r="C26" s="6"/>
      <c r="D26" s="73" t="s">
        <v>313</v>
      </c>
      <c r="E26" s="41">
        <v>8000</v>
      </c>
      <c r="F26" s="6">
        <v>360</v>
      </c>
      <c r="G26" s="6">
        <v>2500</v>
      </c>
      <c r="H26" s="6">
        <v>0</v>
      </c>
      <c r="I26" s="6">
        <v>0</v>
      </c>
      <c r="J26" s="6">
        <v>0</v>
      </c>
      <c r="K26" s="62"/>
      <c r="L26" s="62"/>
      <c r="M26" s="11">
        <v>5</v>
      </c>
      <c r="N26" s="51">
        <f>20+E26/400</f>
        <v>40</v>
      </c>
      <c r="O26" s="13">
        <v>23</v>
      </c>
      <c r="P26" s="48"/>
      <c r="Q26" s="11">
        <v>0</v>
      </c>
      <c r="R26" s="51">
        <f>H26*I26/5</f>
        <v>0</v>
      </c>
      <c r="S26" s="45">
        <f>J26/12</f>
        <v>0</v>
      </c>
      <c r="T26" s="45">
        <v>0</v>
      </c>
      <c r="U26" s="13">
        <v>6</v>
      </c>
      <c r="V26" s="51">
        <f>F26/70</f>
        <v>5.1428571428571432</v>
      </c>
      <c r="W26" s="13">
        <v>5</v>
      </c>
      <c r="X26" s="13"/>
    </row>
    <row r="27" spans="1:24 1025:1025" x14ac:dyDescent="0.3">
      <c r="A27" s="61" t="s">
        <v>44</v>
      </c>
      <c r="B27" s="61" t="s">
        <v>314</v>
      </c>
      <c r="C27" s="6"/>
      <c r="D27" s="62" t="s">
        <v>315</v>
      </c>
      <c r="E27" s="41">
        <v>5700</v>
      </c>
      <c r="F27" s="6">
        <v>265</v>
      </c>
      <c r="G27" s="6">
        <v>1000</v>
      </c>
      <c r="H27" s="6">
        <v>0</v>
      </c>
      <c r="I27" s="6">
        <v>0</v>
      </c>
      <c r="J27" s="6">
        <v>0</v>
      </c>
      <c r="K27" s="62"/>
      <c r="L27" s="62"/>
      <c r="M27" s="11">
        <v>5</v>
      </c>
      <c r="N27" s="51">
        <f>20+E27/400</f>
        <v>34.25</v>
      </c>
      <c r="O27" s="13">
        <v>23</v>
      </c>
      <c r="P27" s="48"/>
      <c r="Q27" s="11">
        <v>0</v>
      </c>
      <c r="R27" s="51">
        <f>H27*I27/5</f>
        <v>0</v>
      </c>
      <c r="S27" s="45">
        <f>J27/12</f>
        <v>0</v>
      </c>
      <c r="T27" s="45">
        <v>0</v>
      </c>
      <c r="U27" s="13">
        <v>6</v>
      </c>
      <c r="V27" s="51">
        <f>F27/70</f>
        <v>3.7857142857142856</v>
      </c>
      <c r="W27" s="13">
        <v>5</v>
      </c>
      <c r="X27" s="13"/>
    </row>
    <row r="28" spans="1:24 1025:1025" ht="28.8" x14ac:dyDescent="0.3">
      <c r="A28" s="61" t="s">
        <v>24</v>
      </c>
      <c r="B28" s="61" t="s">
        <v>370</v>
      </c>
      <c r="C28" s="6"/>
      <c r="D28" s="62" t="s">
        <v>371</v>
      </c>
      <c r="E28" s="41">
        <v>3500</v>
      </c>
      <c r="F28" s="6">
        <v>360</v>
      </c>
      <c r="G28" s="6">
        <v>1200</v>
      </c>
      <c r="H28" s="6">
        <v>0</v>
      </c>
      <c r="I28" s="6">
        <v>0</v>
      </c>
      <c r="J28" s="6">
        <v>0</v>
      </c>
      <c r="K28" s="62"/>
      <c r="L28" s="62"/>
      <c r="M28" s="11">
        <v>5</v>
      </c>
      <c r="N28" s="51">
        <f>20+E28/400</f>
        <v>28.75</v>
      </c>
      <c r="O28" s="13">
        <v>23</v>
      </c>
      <c r="P28" s="48"/>
      <c r="Q28" s="11">
        <v>0</v>
      </c>
      <c r="R28" s="51">
        <f>H28*I28/5</f>
        <v>0</v>
      </c>
      <c r="S28" s="45">
        <f>J28/12</f>
        <v>0</v>
      </c>
      <c r="T28" s="45">
        <v>0</v>
      </c>
      <c r="U28" s="13">
        <v>6</v>
      </c>
      <c r="V28" s="51">
        <f>F28/70</f>
        <v>5.1428571428571432</v>
      </c>
      <c r="W28" s="13">
        <v>5</v>
      </c>
      <c r="X28" s="13"/>
    </row>
  </sheetData>
  <mergeCells count="1">
    <mergeCell ref="A24:D24"/>
  </mergeCells>
  <pageMargins left="0.7" right="0.7" top="1.14375" bottom="1.14375" header="0.51180555555555496" footer="0.51180555555555496"/>
  <pageSetup firstPageNumber="0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N14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0" sqref="J10"/>
    </sheetView>
  </sheetViews>
  <sheetFormatPr defaultRowHeight="14.4" x14ac:dyDescent="0.3"/>
  <cols>
    <col min="1" max="2" width="9.5546875" customWidth="1"/>
    <col min="3" max="3" width="7.44140625" customWidth="1"/>
    <col min="4" max="4" width="21" customWidth="1"/>
    <col min="5" max="5" width="9.5546875" customWidth="1"/>
    <col min="6" max="9" width="14.88671875" customWidth="1"/>
    <col min="10" max="10" width="12.5546875" customWidth="1"/>
    <col min="11" max="11" width="36.88671875" customWidth="1"/>
    <col min="12" max="12" width="21" customWidth="1"/>
    <col min="13" max="19" width="9.5546875" style="11" customWidth="1"/>
    <col min="20" max="23" width="11.21875" style="11" customWidth="1"/>
    <col min="24" max="26" width="9.5546875" style="11" customWidth="1"/>
    <col min="27" max="27" width="63.44140625" style="33" customWidth="1"/>
    <col min="28" max="1029" width="9.5546875" customWidth="1"/>
  </cols>
  <sheetData>
    <row r="1" spans="1:27 1028:1028" ht="57.6" x14ac:dyDescent="0.3">
      <c r="A1" s="55" t="s">
        <v>226</v>
      </c>
      <c r="B1" s="57" t="s">
        <v>440</v>
      </c>
      <c r="C1" s="56" t="s">
        <v>190</v>
      </c>
      <c r="D1" s="3" t="s">
        <v>0</v>
      </c>
      <c r="E1" s="57" t="s">
        <v>227</v>
      </c>
      <c r="F1" s="57" t="s">
        <v>228</v>
      </c>
      <c r="G1" s="55" t="s">
        <v>229</v>
      </c>
      <c r="H1" s="55" t="s">
        <v>230</v>
      </c>
      <c r="I1" s="58" t="s">
        <v>231</v>
      </c>
      <c r="J1" s="56" t="s">
        <v>232</v>
      </c>
      <c r="K1" s="55" t="s">
        <v>233</v>
      </c>
      <c r="L1" s="55" t="s">
        <v>234</v>
      </c>
      <c r="M1" s="59" t="s">
        <v>12</v>
      </c>
      <c r="N1" s="59" t="s">
        <v>235</v>
      </c>
      <c r="O1" s="59" t="s">
        <v>14</v>
      </c>
      <c r="P1" s="59" t="s">
        <v>236</v>
      </c>
      <c r="Q1" s="59" t="s">
        <v>16</v>
      </c>
      <c r="R1" s="59" t="s">
        <v>237</v>
      </c>
      <c r="S1" s="60" t="s">
        <v>238</v>
      </c>
      <c r="T1" s="60" t="s">
        <v>474</v>
      </c>
      <c r="U1" s="60" t="s">
        <v>475</v>
      </c>
      <c r="V1" s="60" t="s">
        <v>471</v>
      </c>
      <c r="W1" s="60" t="s">
        <v>472</v>
      </c>
      <c r="X1" s="59" t="s">
        <v>21</v>
      </c>
      <c r="Y1" s="59" t="s">
        <v>240</v>
      </c>
      <c r="Z1" s="59" t="s">
        <v>19</v>
      </c>
      <c r="AA1" s="60" t="s">
        <v>22</v>
      </c>
    </row>
    <row r="2" spans="1:27 1028:1028" s="68" customFormat="1" x14ac:dyDescent="0.3">
      <c r="A2" s="69" t="s">
        <v>264</v>
      </c>
      <c r="B2" s="64"/>
      <c r="C2" s="65"/>
      <c r="D2" s="66"/>
      <c r="E2" s="64"/>
      <c r="F2" s="65"/>
      <c r="G2" s="65"/>
      <c r="H2" s="65"/>
      <c r="I2" s="65"/>
      <c r="J2" s="65"/>
      <c r="K2" s="66"/>
      <c r="L2" s="66"/>
      <c r="M2" s="67"/>
      <c r="N2" s="70"/>
      <c r="O2" s="67"/>
      <c r="P2" s="70"/>
      <c r="Q2" s="67"/>
      <c r="R2" s="70"/>
      <c r="S2" s="70"/>
      <c r="T2" s="70"/>
      <c r="U2" s="70"/>
      <c r="V2" s="70"/>
      <c r="W2" s="70"/>
      <c r="X2" s="67"/>
      <c r="Y2" s="70"/>
      <c r="Z2" s="67"/>
      <c r="AA2" s="71"/>
      <c r="AMN2"/>
    </row>
    <row r="3" spans="1:27 1028:1028" ht="28.8" x14ac:dyDescent="0.3">
      <c r="A3" s="103" t="s">
        <v>245</v>
      </c>
      <c r="B3" s="103" t="s">
        <v>296</v>
      </c>
      <c r="C3" s="6"/>
      <c r="D3" s="62" t="s">
        <v>297</v>
      </c>
      <c r="E3" s="41">
        <v>11000</v>
      </c>
      <c r="F3" s="6">
        <v>212</v>
      </c>
      <c r="G3" s="6">
        <v>2000</v>
      </c>
      <c r="H3" s="6">
        <v>7.62</v>
      </c>
      <c r="I3" s="6">
        <v>7</v>
      </c>
      <c r="J3" s="6">
        <v>5000</v>
      </c>
      <c r="K3" s="62"/>
      <c r="L3" s="62"/>
      <c r="M3" s="11">
        <v>8</v>
      </c>
      <c r="N3" s="51">
        <f t="shared" ref="N3:N8" si="0">20+E3/400</f>
        <v>47.5</v>
      </c>
      <c r="O3" s="13">
        <v>23</v>
      </c>
      <c r="P3" s="48"/>
      <c r="Q3" s="11">
        <v>0</v>
      </c>
      <c r="R3" s="51">
        <f t="shared" ref="R3:R8" si="1">H3*I3/5</f>
        <v>10.668000000000001</v>
      </c>
      <c r="S3" s="45">
        <f t="shared" ref="S3:S8" si="2">J3/12</f>
        <v>416.66666666666669</v>
      </c>
      <c r="T3" s="45">
        <f>(S3-R3)/R3</f>
        <v>38.057617797775272</v>
      </c>
      <c r="U3" s="45">
        <f>T3*1.2</f>
        <v>45.669141357330325</v>
      </c>
      <c r="V3" s="45">
        <f>T3</f>
        <v>38.057617797775272</v>
      </c>
      <c r="W3" s="45">
        <f>T3</f>
        <v>38.057617797775272</v>
      </c>
      <c r="X3" s="13">
        <v>6</v>
      </c>
      <c r="Y3" s="51">
        <f t="shared" ref="Y3:Y8" si="3">F3/70</f>
        <v>3.0285714285714285</v>
      </c>
      <c r="Z3" s="13">
        <v>6</v>
      </c>
      <c r="AA3" s="13" t="s">
        <v>269</v>
      </c>
    </row>
    <row r="4" spans="1:27 1028:1028" ht="28.8" x14ac:dyDescent="0.3">
      <c r="A4" s="61" t="s">
        <v>245</v>
      </c>
      <c r="B4" s="61" t="s">
        <v>265</v>
      </c>
      <c r="C4" s="6" t="s">
        <v>266</v>
      </c>
      <c r="D4" s="73" t="s">
        <v>289</v>
      </c>
      <c r="E4" s="41">
        <v>7601</v>
      </c>
      <c r="F4" s="6">
        <v>410</v>
      </c>
      <c r="G4" s="6">
        <v>2020</v>
      </c>
      <c r="H4" s="6">
        <v>20</v>
      </c>
      <c r="I4" s="6">
        <v>3</v>
      </c>
      <c r="J4" s="6">
        <f>2270+1500</f>
        <v>3770</v>
      </c>
      <c r="K4" s="62" t="s">
        <v>267</v>
      </c>
      <c r="L4" s="62" t="s">
        <v>268</v>
      </c>
      <c r="M4" s="11">
        <v>7</v>
      </c>
      <c r="N4" s="51">
        <f t="shared" si="0"/>
        <v>39.002499999999998</v>
      </c>
      <c r="O4" s="13">
        <v>23</v>
      </c>
      <c r="P4" s="48"/>
      <c r="Q4" s="11">
        <v>0</v>
      </c>
      <c r="R4" s="51">
        <f t="shared" si="1"/>
        <v>12</v>
      </c>
      <c r="S4" s="45">
        <f t="shared" si="2"/>
        <v>314.16666666666669</v>
      </c>
      <c r="T4" s="45">
        <f>(S4-R4)/R4</f>
        <v>25.180555555555557</v>
      </c>
      <c r="U4" s="45">
        <f t="shared" ref="U4:U10" si="4">T4*1.2</f>
        <v>30.216666666666669</v>
      </c>
      <c r="V4" s="45">
        <f t="shared" ref="V4:V9" si="5">T4</f>
        <v>25.180555555555557</v>
      </c>
      <c r="W4" s="45">
        <f t="shared" ref="W4:W9" si="6">T4</f>
        <v>25.180555555555557</v>
      </c>
      <c r="X4" s="13">
        <v>6</v>
      </c>
      <c r="Y4" s="51">
        <f t="shared" si="3"/>
        <v>5.8571428571428568</v>
      </c>
      <c r="Z4" s="13">
        <v>6</v>
      </c>
      <c r="AA4" s="13" t="s">
        <v>269</v>
      </c>
    </row>
    <row r="5" spans="1:27 1028:1028" ht="28.8" x14ac:dyDescent="0.3">
      <c r="A5" s="103" t="s">
        <v>32</v>
      </c>
      <c r="B5" s="103" t="s">
        <v>270</v>
      </c>
      <c r="C5" s="6" t="s">
        <v>271</v>
      </c>
      <c r="D5" s="62" t="s">
        <v>290</v>
      </c>
      <c r="E5" s="41">
        <v>16391</v>
      </c>
      <c r="F5" s="6">
        <v>320</v>
      </c>
      <c r="G5" s="6">
        <v>2700</v>
      </c>
      <c r="H5" s="6">
        <v>12.7</v>
      </c>
      <c r="I5" s="6">
        <v>13</v>
      </c>
      <c r="J5" s="6">
        <v>3600</v>
      </c>
      <c r="K5" s="62" t="s">
        <v>272</v>
      </c>
      <c r="L5" s="62" t="s">
        <v>248</v>
      </c>
      <c r="M5" s="11">
        <v>8</v>
      </c>
      <c r="N5" s="51">
        <f t="shared" si="0"/>
        <v>60.977499999999999</v>
      </c>
      <c r="O5" s="13">
        <v>18</v>
      </c>
      <c r="P5" s="48"/>
      <c r="Q5" s="11">
        <v>0</v>
      </c>
      <c r="R5" s="51">
        <f t="shared" si="1"/>
        <v>33.019999999999996</v>
      </c>
      <c r="S5" s="45">
        <f t="shared" si="2"/>
        <v>300</v>
      </c>
      <c r="T5" s="45">
        <f>(S5-R5)/R5</f>
        <v>8.0854027861901887</v>
      </c>
      <c r="U5" s="45">
        <f t="shared" si="4"/>
        <v>9.7024833434282254</v>
      </c>
      <c r="V5" s="45">
        <f t="shared" si="5"/>
        <v>8.0854027861901887</v>
      </c>
      <c r="W5" s="45">
        <f t="shared" si="6"/>
        <v>8.0854027861901887</v>
      </c>
      <c r="X5" s="13">
        <v>7</v>
      </c>
      <c r="Y5" s="51">
        <f t="shared" si="3"/>
        <v>4.5714285714285712</v>
      </c>
      <c r="Z5" s="13">
        <v>5</v>
      </c>
      <c r="AA5" s="13" t="s">
        <v>477</v>
      </c>
    </row>
    <row r="6" spans="1:27 1028:1028" ht="43.2" x14ac:dyDescent="0.3">
      <c r="A6" s="103" t="s">
        <v>27</v>
      </c>
      <c r="B6" s="103" t="s">
        <v>446</v>
      </c>
      <c r="C6" s="6"/>
      <c r="D6" s="62" t="s">
        <v>290</v>
      </c>
      <c r="E6" s="41">
        <v>8400</v>
      </c>
      <c r="F6" s="6">
        <v>378</v>
      </c>
      <c r="G6" s="6">
        <v>4100</v>
      </c>
      <c r="H6" s="6">
        <v>7.62</v>
      </c>
      <c r="I6" s="6">
        <v>7</v>
      </c>
      <c r="J6" s="6">
        <v>2000</v>
      </c>
      <c r="K6" s="62" t="s">
        <v>272</v>
      </c>
      <c r="L6" s="62" t="s">
        <v>248</v>
      </c>
      <c r="M6" s="11">
        <v>7</v>
      </c>
      <c r="N6" s="51">
        <f t="shared" ref="N6" si="7">20+E6/400</f>
        <v>41</v>
      </c>
      <c r="O6" s="13">
        <v>18</v>
      </c>
      <c r="P6" s="48"/>
      <c r="Q6" s="11">
        <v>0</v>
      </c>
      <c r="R6" s="51">
        <f t="shared" ref="R6" si="8">H6*I6/5</f>
        <v>10.668000000000001</v>
      </c>
      <c r="S6" s="45">
        <f t="shared" ref="S6" si="9">J6/12</f>
        <v>166.66666666666666</v>
      </c>
      <c r="T6" s="45">
        <f>(S6-R6)/R6</f>
        <v>14.623047119110108</v>
      </c>
      <c r="U6" s="45">
        <f t="shared" si="4"/>
        <v>17.547656542932128</v>
      </c>
      <c r="V6" s="45">
        <f t="shared" si="5"/>
        <v>14.623047119110108</v>
      </c>
      <c r="W6" s="45">
        <f t="shared" si="6"/>
        <v>14.623047119110108</v>
      </c>
      <c r="X6" s="13">
        <v>7</v>
      </c>
      <c r="Y6" s="51">
        <f t="shared" ref="Y6" si="10">F6/70</f>
        <v>5.4</v>
      </c>
      <c r="Z6" s="13">
        <v>5</v>
      </c>
      <c r="AA6" s="13" t="s">
        <v>477</v>
      </c>
    </row>
    <row r="7" spans="1:27 1028:1028" ht="28.8" x14ac:dyDescent="0.3">
      <c r="A7" s="103" t="s">
        <v>44</v>
      </c>
      <c r="B7" s="103" t="s">
        <v>273</v>
      </c>
      <c r="C7" s="6" t="s">
        <v>274</v>
      </c>
      <c r="D7" s="62" t="s">
        <v>291</v>
      </c>
      <c r="E7" s="41">
        <v>8500</v>
      </c>
      <c r="F7" s="6">
        <v>510</v>
      </c>
      <c r="G7" s="6">
        <v>2400</v>
      </c>
      <c r="H7" s="6">
        <v>7.92</v>
      </c>
      <c r="I7" s="6">
        <v>5</v>
      </c>
      <c r="J7" s="6">
        <v>1400</v>
      </c>
      <c r="K7" s="62" t="s">
        <v>275</v>
      </c>
      <c r="L7" s="62" t="s">
        <v>244</v>
      </c>
      <c r="M7" s="11">
        <v>6</v>
      </c>
      <c r="N7" s="51">
        <f t="shared" si="0"/>
        <v>41.25</v>
      </c>
      <c r="O7" s="13">
        <v>20</v>
      </c>
      <c r="P7" s="48"/>
      <c r="Q7" s="11">
        <v>3</v>
      </c>
      <c r="R7" s="51">
        <f t="shared" si="1"/>
        <v>7.92</v>
      </c>
      <c r="S7" s="45">
        <f t="shared" si="2"/>
        <v>116.66666666666667</v>
      </c>
      <c r="T7" s="45">
        <f>(S7-R7)/R7</f>
        <v>13.730639730639732</v>
      </c>
      <c r="U7" s="45">
        <f t="shared" si="4"/>
        <v>16.476767676767679</v>
      </c>
      <c r="V7" s="45">
        <f t="shared" si="5"/>
        <v>13.730639730639732</v>
      </c>
      <c r="W7" s="45">
        <f t="shared" si="6"/>
        <v>13.730639730639732</v>
      </c>
      <c r="X7" s="13">
        <v>5</v>
      </c>
      <c r="Y7" s="51">
        <f t="shared" si="3"/>
        <v>7.2857142857142856</v>
      </c>
      <c r="Z7" s="13">
        <v>5</v>
      </c>
      <c r="AA7" s="13" t="s">
        <v>477</v>
      </c>
    </row>
    <row r="8" spans="1:27 1028:1028" ht="43.2" x14ac:dyDescent="0.3">
      <c r="A8" s="61" t="s">
        <v>24</v>
      </c>
      <c r="B8" s="61" t="s">
        <v>331</v>
      </c>
      <c r="C8" s="6"/>
      <c r="D8" s="62" t="s">
        <v>291</v>
      </c>
      <c r="E8" s="41">
        <v>6741</v>
      </c>
      <c r="F8" s="6">
        <v>428</v>
      </c>
      <c r="G8" s="6">
        <v>2852</v>
      </c>
      <c r="H8" s="6">
        <v>20</v>
      </c>
      <c r="I8" s="6">
        <v>2</v>
      </c>
      <c r="J8" s="6">
        <v>800</v>
      </c>
      <c r="K8" s="62"/>
      <c r="L8" s="62"/>
      <c r="M8" s="11">
        <v>6</v>
      </c>
      <c r="N8" s="51">
        <f t="shared" si="0"/>
        <v>36.852499999999999</v>
      </c>
      <c r="O8" s="13">
        <v>20</v>
      </c>
      <c r="P8" s="48"/>
      <c r="Q8" s="11">
        <v>0</v>
      </c>
      <c r="R8" s="51">
        <f t="shared" si="1"/>
        <v>8</v>
      </c>
      <c r="S8" s="45">
        <f t="shared" si="2"/>
        <v>66.666666666666671</v>
      </c>
      <c r="T8" s="45">
        <f>(S8-R8)/R8</f>
        <v>7.3333333333333339</v>
      </c>
      <c r="U8" s="45">
        <f t="shared" si="4"/>
        <v>8.8000000000000007</v>
      </c>
      <c r="V8" s="45">
        <f t="shared" si="5"/>
        <v>7.3333333333333339</v>
      </c>
      <c r="W8" s="45">
        <f t="shared" si="6"/>
        <v>7.3333333333333339</v>
      </c>
      <c r="X8" s="13">
        <v>5</v>
      </c>
      <c r="Y8" s="51">
        <f t="shared" si="3"/>
        <v>6.1142857142857139</v>
      </c>
      <c r="Z8" s="13">
        <v>5</v>
      </c>
      <c r="AA8" s="13" t="s">
        <v>477</v>
      </c>
    </row>
    <row r="9" spans="1:27 1028:1028" ht="28.8" x14ac:dyDescent="0.3">
      <c r="A9" s="103" t="s">
        <v>24</v>
      </c>
      <c r="B9" s="103" t="s">
        <v>329</v>
      </c>
      <c r="C9" s="6"/>
      <c r="D9" s="62" t="s">
        <v>330</v>
      </c>
      <c r="E9" s="41">
        <v>4965</v>
      </c>
      <c r="F9" s="6">
        <v>375</v>
      </c>
      <c r="G9" s="6">
        <v>4400</v>
      </c>
      <c r="H9" s="6">
        <v>20</v>
      </c>
      <c r="I9" s="6">
        <v>2</v>
      </c>
      <c r="J9" s="6">
        <v>800</v>
      </c>
      <c r="K9" s="62"/>
      <c r="L9" s="62"/>
      <c r="M9" s="11">
        <v>5</v>
      </c>
      <c r="N9" s="51">
        <f t="shared" ref="N9:N10" si="11">20+E9/400</f>
        <v>32.412500000000001</v>
      </c>
      <c r="O9" s="13">
        <v>20</v>
      </c>
      <c r="P9" s="48"/>
      <c r="Q9" s="11">
        <v>0</v>
      </c>
      <c r="R9" s="51">
        <f t="shared" ref="R9:R10" si="12">H9*I9/5</f>
        <v>8</v>
      </c>
      <c r="S9" s="45">
        <f t="shared" ref="S9:S10" si="13">J9/12</f>
        <v>66.666666666666671</v>
      </c>
      <c r="T9" s="45">
        <f>(S9-R9)/R9</f>
        <v>7.3333333333333339</v>
      </c>
      <c r="U9" s="45">
        <f t="shared" si="4"/>
        <v>8.8000000000000007</v>
      </c>
      <c r="V9" s="45">
        <f t="shared" si="5"/>
        <v>7.3333333333333339</v>
      </c>
      <c r="W9" s="45">
        <f t="shared" si="6"/>
        <v>7.3333333333333339</v>
      </c>
      <c r="X9" s="13">
        <v>5</v>
      </c>
      <c r="Y9" s="51">
        <f t="shared" ref="Y9:Y10" si="14">F9/70</f>
        <v>5.3571428571428568</v>
      </c>
      <c r="Z9" s="13">
        <v>5</v>
      </c>
      <c r="AA9" s="13" t="s">
        <v>477</v>
      </c>
    </row>
    <row r="10" spans="1:27 1028:1028" ht="28.8" x14ac:dyDescent="0.3">
      <c r="A10" s="61" t="s">
        <v>24</v>
      </c>
      <c r="B10" s="61" t="s">
        <v>478</v>
      </c>
      <c r="C10" s="6"/>
      <c r="D10" s="74">
        <v>1945</v>
      </c>
      <c r="E10" s="41">
        <v>17400</v>
      </c>
      <c r="F10" s="6">
        <v>593</v>
      </c>
      <c r="G10" s="6">
        <v>3945</v>
      </c>
      <c r="H10" s="6">
        <v>20</v>
      </c>
      <c r="I10" s="6">
        <v>6</v>
      </c>
      <c r="J10" s="6">
        <v>4000</v>
      </c>
      <c r="K10" s="62"/>
      <c r="L10" s="62"/>
      <c r="M10" s="11">
        <v>8</v>
      </c>
      <c r="N10" s="51">
        <f t="shared" si="11"/>
        <v>63.5</v>
      </c>
      <c r="O10" s="13">
        <v>20</v>
      </c>
      <c r="P10" s="48"/>
      <c r="Q10" s="11">
        <v>0</v>
      </c>
      <c r="R10" s="51">
        <f t="shared" si="12"/>
        <v>24</v>
      </c>
      <c r="S10" s="45">
        <f t="shared" si="13"/>
        <v>333.33333333333331</v>
      </c>
      <c r="T10" s="45">
        <f>(S10-R10)/R10</f>
        <v>12.888888888888888</v>
      </c>
      <c r="U10" s="45">
        <f t="shared" si="4"/>
        <v>15.466666666666665</v>
      </c>
      <c r="V10" s="45">
        <f t="shared" ref="V10" si="15">T10</f>
        <v>12.888888888888888</v>
      </c>
      <c r="W10" s="45">
        <f t="shared" ref="W10" si="16">T10</f>
        <v>12.888888888888888</v>
      </c>
      <c r="X10" s="13">
        <v>5</v>
      </c>
      <c r="Y10" s="51">
        <f t="shared" si="14"/>
        <v>8.4714285714285715</v>
      </c>
      <c r="Z10" s="13">
        <v>5</v>
      </c>
      <c r="AA10" s="13" t="s">
        <v>477</v>
      </c>
    </row>
    <row r="11" spans="1:27 1028:1028" s="68" customFormat="1" x14ac:dyDescent="0.3">
      <c r="A11" s="69" t="s">
        <v>473</v>
      </c>
      <c r="B11" s="64"/>
      <c r="C11" s="65"/>
      <c r="D11" s="66"/>
      <c r="E11" s="64"/>
      <c r="F11" s="65"/>
      <c r="G11" s="65"/>
      <c r="H11" s="65"/>
      <c r="I11" s="65"/>
      <c r="J11" s="65"/>
      <c r="K11" s="66"/>
      <c r="L11" s="66"/>
      <c r="M11" s="67"/>
      <c r="N11" s="70"/>
      <c r="O11" s="67"/>
      <c r="P11" s="70"/>
      <c r="Q11" s="67"/>
      <c r="R11" s="70"/>
      <c r="S11" s="70"/>
      <c r="T11" s="70"/>
      <c r="U11" s="70"/>
      <c r="V11" s="70"/>
      <c r="W11" s="70"/>
      <c r="X11" s="67"/>
      <c r="Y11" s="70"/>
      <c r="Z11" s="67"/>
      <c r="AA11" s="71"/>
      <c r="AMN11"/>
    </row>
    <row r="12" spans="1:27 1028:1028" ht="28.8" x14ac:dyDescent="0.3">
      <c r="A12" s="61" t="s">
        <v>245</v>
      </c>
      <c r="B12" s="61" t="s">
        <v>325</v>
      </c>
      <c r="C12" s="6"/>
      <c r="D12" s="76">
        <v>1935</v>
      </c>
      <c r="E12" s="41">
        <v>2718</v>
      </c>
      <c r="F12" s="6">
        <v>275</v>
      </c>
      <c r="G12" s="6">
        <v>1500</v>
      </c>
      <c r="H12" s="6">
        <v>7.62</v>
      </c>
      <c r="I12" s="6">
        <v>2</v>
      </c>
      <c r="J12" s="6">
        <v>300</v>
      </c>
      <c r="K12" s="62"/>
      <c r="L12" s="62"/>
      <c r="M12" s="11">
        <v>4</v>
      </c>
      <c r="N12" s="51">
        <f>20+E12/400</f>
        <v>26.795000000000002</v>
      </c>
      <c r="O12" s="13">
        <v>23</v>
      </c>
      <c r="P12" s="48"/>
      <c r="Q12" s="11">
        <v>0</v>
      </c>
      <c r="R12" s="51">
        <f>H12*I12/5</f>
        <v>3.048</v>
      </c>
      <c r="S12" s="45">
        <f>J12/12</f>
        <v>25</v>
      </c>
      <c r="T12" s="45">
        <v>0</v>
      </c>
      <c r="U12" s="45">
        <f>T12</f>
        <v>0</v>
      </c>
      <c r="V12" s="45">
        <f t="shared" ref="V12:V13" si="17">S12/(2*R12)</f>
        <v>4.1010498687664043</v>
      </c>
      <c r="W12" s="45">
        <f>2*S12/R12</f>
        <v>16.404199475065617</v>
      </c>
      <c r="X12" s="13">
        <v>6</v>
      </c>
      <c r="Y12" s="51">
        <f>F12/70</f>
        <v>3.9285714285714284</v>
      </c>
      <c r="Z12" s="13">
        <v>6</v>
      </c>
      <c r="AA12" s="13" t="s">
        <v>477</v>
      </c>
    </row>
    <row r="13" spans="1:27 1028:1028" ht="43.2" x14ac:dyDescent="0.3">
      <c r="A13" s="61" t="s">
        <v>32</v>
      </c>
      <c r="B13" s="61" t="s">
        <v>323</v>
      </c>
      <c r="C13" s="6"/>
      <c r="D13" s="73" t="s">
        <v>324</v>
      </c>
      <c r="E13" s="41">
        <v>9485</v>
      </c>
      <c r="F13" s="6">
        <v>288</v>
      </c>
      <c r="G13" s="6">
        <v>4095</v>
      </c>
      <c r="H13" s="6">
        <v>12.7</v>
      </c>
      <c r="I13" s="6">
        <v>4</v>
      </c>
      <c r="J13" s="6">
        <v>1818</v>
      </c>
      <c r="K13" s="62"/>
      <c r="L13" s="62"/>
      <c r="M13" s="11">
        <v>7</v>
      </c>
      <c r="N13" s="51">
        <f>20+E13/400</f>
        <v>43.712499999999999</v>
      </c>
      <c r="O13" s="13">
        <v>18</v>
      </c>
      <c r="P13" s="48"/>
      <c r="Q13" s="11">
        <v>0</v>
      </c>
      <c r="R13" s="51">
        <f>H13*I13/5</f>
        <v>10.16</v>
      </c>
      <c r="S13" s="45">
        <f>J13/12</f>
        <v>151.5</v>
      </c>
      <c r="T13" s="45">
        <v>0</v>
      </c>
      <c r="U13" s="45">
        <f t="shared" ref="U13" si="18">T13</f>
        <v>0</v>
      </c>
      <c r="V13" s="45">
        <f t="shared" si="17"/>
        <v>7.4557086614173231</v>
      </c>
      <c r="W13" s="45">
        <f>2*S13/R13</f>
        <v>29.822834645669293</v>
      </c>
      <c r="X13" s="13">
        <v>7</v>
      </c>
      <c r="Y13" s="51">
        <f>F13/70</f>
        <v>4.1142857142857139</v>
      </c>
      <c r="Z13" s="13">
        <v>5</v>
      </c>
      <c r="AA13" s="13" t="s">
        <v>477</v>
      </c>
    </row>
    <row r="14" spans="1:27 1028:1028" ht="28.8" x14ac:dyDescent="0.3">
      <c r="A14" s="61" t="s">
        <v>44</v>
      </c>
      <c r="B14" s="61" t="s">
        <v>322</v>
      </c>
      <c r="C14" s="6"/>
      <c r="D14" s="74">
        <v>1944</v>
      </c>
      <c r="E14" s="41">
        <v>54700</v>
      </c>
      <c r="F14" s="6">
        <v>446</v>
      </c>
      <c r="G14" s="6">
        <v>7200</v>
      </c>
      <c r="H14" s="6">
        <v>13</v>
      </c>
      <c r="I14" s="6">
        <v>22</v>
      </c>
      <c r="J14" s="6">
        <v>4000</v>
      </c>
      <c r="K14" s="62"/>
      <c r="L14" s="62"/>
      <c r="M14" s="11">
        <v>10</v>
      </c>
      <c r="N14" s="51">
        <f>20+E14/400</f>
        <v>156.75</v>
      </c>
      <c r="O14" s="13">
        <v>20</v>
      </c>
      <c r="P14" s="48"/>
      <c r="Q14" s="11">
        <v>0</v>
      </c>
      <c r="R14" s="51">
        <f>H14*I14/5</f>
        <v>57.2</v>
      </c>
      <c r="S14" s="45">
        <f>J14/12</f>
        <v>333.33333333333331</v>
      </c>
      <c r="T14" s="45">
        <v>0</v>
      </c>
      <c r="U14" s="45">
        <v>0</v>
      </c>
      <c r="V14" s="45">
        <f>S14/(2*R14)</f>
        <v>2.9137529137529135</v>
      </c>
      <c r="W14" s="45">
        <f>2*S14/R14</f>
        <v>11.655011655011654</v>
      </c>
      <c r="X14" s="13">
        <v>5</v>
      </c>
      <c r="Y14" s="51">
        <f>F14/70</f>
        <v>6.371428571428571</v>
      </c>
      <c r="Z14" s="13">
        <v>5</v>
      </c>
      <c r="AA14" s="13" t="s">
        <v>477</v>
      </c>
    </row>
  </sheetData>
  <pageMargins left="0.7" right="0.7" top="1.14375" bottom="1.14375" header="0.51180555555555496" footer="0.51180555555555496"/>
  <pageSetup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3561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Artillery</vt:lpstr>
      <vt:lpstr>AntiTank</vt:lpstr>
      <vt:lpstr>Tanks</vt:lpstr>
      <vt:lpstr>AntiAir</vt:lpstr>
      <vt:lpstr>ships</vt:lpstr>
      <vt:lpstr>planes</vt:lpstr>
      <vt:lpstr>planes bomber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</dc:creator>
  <dc:description/>
  <cp:lastModifiedBy>pch</cp:lastModifiedBy>
  <cp:revision>319</cp:revision>
  <dcterms:created xsi:type="dcterms:W3CDTF">2006-09-16T00:00:00Z</dcterms:created>
  <dcterms:modified xsi:type="dcterms:W3CDTF">2019-11-08T14:36:37Z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